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556" activeTab="4"/>
  </bookViews>
  <sheets>
    <sheet name="تاخیر تادیه" sheetId="11" r:id="rId1"/>
    <sheet name="صورت وضعیت " sheetId="12" r:id="rId2"/>
    <sheet name="تعدیل" sheetId="8" r:id="rId3"/>
    <sheet name="حسن" sheetId="9" r:id="rId4"/>
    <sheet name="پیش پرداخت" sheetId="10" r:id="rId5"/>
  </sheets>
  <definedNames>
    <definedName name="_xlnm.Print_Area" localSheetId="4">'پیش پرداخت'!$C$2:$L$13</definedName>
    <definedName name="_xlnm.Print_Area" localSheetId="0">'تاخیر تادیه'!$C$2:$H$14</definedName>
    <definedName name="_xlnm.Print_Area" localSheetId="2">تعدیل!$C$2:$P$35</definedName>
    <definedName name="_xlnm.Print_Area" localSheetId="3">حسن!$C$2:$L$12</definedName>
    <definedName name="_xlnm.Print_Area" localSheetId="1">'صورت وضعیت '!$C$2:$Q$72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" i="8" l="1"/>
  <c r="O71" i="12"/>
  <c r="O70" i="12"/>
  <c r="E34" i="8"/>
  <c r="F34" i="8" s="1"/>
  <c r="K34" i="8" s="1"/>
  <c r="L34" i="8" s="1"/>
  <c r="P34" i="8" s="1"/>
  <c r="D70" i="12"/>
  <c r="O69" i="12"/>
  <c r="L68" i="12"/>
  <c r="L63" i="12"/>
  <c r="L62" i="12"/>
  <c r="L61" i="12"/>
  <c r="L60" i="12"/>
  <c r="L56" i="12"/>
  <c r="L55" i="12"/>
  <c r="L54" i="12"/>
  <c r="L51" i="12"/>
  <c r="L45" i="12"/>
  <c r="L44" i="12"/>
  <c r="L43" i="12"/>
  <c r="L40" i="12"/>
  <c r="L37" i="12"/>
  <c r="L34" i="12"/>
  <c r="L31" i="12"/>
  <c r="L30" i="12"/>
  <c r="L27" i="12"/>
  <c r="L18" i="12"/>
  <c r="L11" i="12" l="1"/>
  <c r="D83" i="12" l="1"/>
  <c r="D79" i="12"/>
  <c r="J67" i="12"/>
  <c r="D67" i="12"/>
  <c r="J65" i="12"/>
  <c r="O66" i="12" s="1"/>
  <c r="E65" i="12"/>
  <c r="F65" i="12" s="1"/>
  <c r="J59" i="12"/>
  <c r="E59" i="12"/>
  <c r="J58" i="12"/>
  <c r="E58" i="12"/>
  <c r="F58" i="12" s="1"/>
  <c r="J53" i="12"/>
  <c r="H53" i="12"/>
  <c r="F53" i="12"/>
  <c r="J50" i="12"/>
  <c r="O52" i="12" s="1"/>
  <c r="H50" i="12"/>
  <c r="E50" i="12"/>
  <c r="H48" i="12"/>
  <c r="J48" i="12"/>
  <c r="O49" i="12" s="1"/>
  <c r="E48" i="12"/>
  <c r="H47" i="12"/>
  <c r="J47" i="12"/>
  <c r="O47" i="12" s="1"/>
  <c r="E47" i="12"/>
  <c r="T47" i="12" s="1"/>
  <c r="H42" i="12"/>
  <c r="J42" i="12"/>
  <c r="E42" i="12"/>
  <c r="H39" i="12"/>
  <c r="J39" i="12"/>
  <c r="T39" i="12"/>
  <c r="H36" i="12"/>
  <c r="J36" i="12"/>
  <c r="H33" i="12"/>
  <c r="J33" i="12"/>
  <c r="O35" i="12" s="1"/>
  <c r="E33" i="12"/>
  <c r="H29" i="12"/>
  <c r="J29" i="12"/>
  <c r="E29" i="12"/>
  <c r="H26" i="12"/>
  <c r="J26" i="12"/>
  <c r="E26" i="12"/>
  <c r="H24" i="12"/>
  <c r="J24" i="12"/>
  <c r="E24" i="12"/>
  <c r="H22" i="12"/>
  <c r="J22" i="12"/>
  <c r="E22" i="12"/>
  <c r="H20" i="12"/>
  <c r="J20" i="12"/>
  <c r="E20" i="12"/>
  <c r="H17" i="12"/>
  <c r="J17" i="12"/>
  <c r="E17" i="12"/>
  <c r="H15" i="12"/>
  <c r="J15" i="12"/>
  <c r="O16" i="12" s="1"/>
  <c r="E15" i="12"/>
  <c r="J13" i="12"/>
  <c r="H13" i="12"/>
  <c r="E13" i="12"/>
  <c r="L10" i="12"/>
  <c r="J10" i="12"/>
  <c r="H10" i="12"/>
  <c r="E10" i="12"/>
  <c r="U9" i="12"/>
  <c r="U10" i="12" s="1"/>
  <c r="F67" i="12" l="1"/>
  <c r="E70" i="12"/>
  <c r="F70" i="12" s="1"/>
  <c r="O22" i="12"/>
  <c r="O23" i="12"/>
  <c r="T42" i="12"/>
  <c r="M54" i="12"/>
  <c r="Q54" i="12" s="1"/>
  <c r="M55" i="12"/>
  <c r="Q55" i="12" s="1"/>
  <c r="M56" i="12"/>
  <c r="O11" i="12"/>
  <c r="O12" i="12"/>
  <c r="O13" i="12"/>
  <c r="O14" i="12"/>
  <c r="O21" i="12"/>
  <c r="O20" i="12"/>
  <c r="T26" i="12"/>
  <c r="O45" i="12"/>
  <c r="O44" i="12"/>
  <c r="O43" i="12"/>
  <c r="O46" i="12"/>
  <c r="O18" i="12"/>
  <c r="O19" i="12"/>
  <c r="O56" i="12"/>
  <c r="O57" i="12"/>
  <c r="F59" i="12"/>
  <c r="M63" i="12" s="1"/>
  <c r="Q63" i="12" s="1"/>
  <c r="O37" i="12"/>
  <c r="O38" i="12"/>
  <c r="L58" i="12"/>
  <c r="M58" i="12" s="1"/>
  <c r="Q58" i="12" s="1"/>
  <c r="F39" i="12"/>
  <c r="M40" i="12" s="1"/>
  <c r="Q40" i="12" s="1"/>
  <c r="F33" i="12"/>
  <c r="M34" i="12" s="1"/>
  <c r="Q34" i="12" s="1"/>
  <c r="O10" i="12"/>
  <c r="T13" i="12"/>
  <c r="U13" i="12" s="1"/>
  <c r="F13" i="12"/>
  <c r="T33" i="12"/>
  <c r="F50" i="12"/>
  <c r="M51" i="12" s="1"/>
  <c r="Q51" i="12" s="1"/>
  <c r="F10" i="12"/>
  <c r="L12" i="12" s="1"/>
  <c r="T29" i="12"/>
  <c r="F26" i="12"/>
  <c r="M27" i="12" s="1"/>
  <c r="Q27" i="12" s="1"/>
  <c r="F36" i="12"/>
  <c r="M37" i="12" s="1"/>
  <c r="T36" i="12"/>
  <c r="T15" i="12"/>
  <c r="F15" i="12"/>
  <c r="T17" i="12"/>
  <c r="F17" i="12"/>
  <c r="M18" i="12" s="1"/>
  <c r="T20" i="12"/>
  <c r="F20" i="12"/>
  <c r="T22" i="12"/>
  <c r="F22" i="12"/>
  <c r="T48" i="12"/>
  <c r="F24" i="12"/>
  <c r="F42" i="12"/>
  <c r="M45" i="12" s="1"/>
  <c r="F47" i="12"/>
  <c r="T24" i="12"/>
  <c r="F29" i="12"/>
  <c r="M31" i="12" s="1"/>
  <c r="Q31" i="12" s="1"/>
  <c r="I30" i="8"/>
  <c r="N30" i="8" s="1"/>
  <c r="I32" i="8"/>
  <c r="N33" i="8" s="1"/>
  <c r="I28" i="8"/>
  <c r="N29" i="8" s="1"/>
  <c r="E32" i="8"/>
  <c r="F32" i="8" s="1"/>
  <c r="E30" i="8"/>
  <c r="F30" i="8" s="1"/>
  <c r="E28" i="8"/>
  <c r="F28" i="8" s="1"/>
  <c r="M68" i="12" l="1"/>
  <c r="Q68" i="12" s="1"/>
  <c r="M44" i="12"/>
  <c r="M61" i="12"/>
  <c r="Q61" i="12" s="1"/>
  <c r="M62" i="12"/>
  <c r="Q62" i="12" s="1"/>
  <c r="M30" i="12"/>
  <c r="Q30" i="12" s="1"/>
  <c r="M60" i="12"/>
  <c r="Q60" i="12" s="1"/>
  <c r="Q56" i="12"/>
  <c r="M43" i="12"/>
  <c r="Q43" i="12" s="1"/>
  <c r="N32" i="8"/>
  <c r="L13" i="12"/>
  <c r="M13" i="12" s="1"/>
  <c r="Q13" i="12" s="1"/>
  <c r="M12" i="12"/>
  <c r="Q12" i="12" s="1"/>
  <c r="Q45" i="12"/>
  <c r="Q44" i="12"/>
  <c r="Q37" i="12"/>
  <c r="Q18" i="12"/>
  <c r="M11" i="12"/>
  <c r="Q11" i="12" s="1"/>
  <c r="M10" i="12"/>
  <c r="Q10" i="12" s="1"/>
  <c r="L47" i="12"/>
  <c r="M47" i="12" s="1"/>
  <c r="Q47" i="12" s="1"/>
  <c r="U15" i="12"/>
  <c r="U17" i="12" s="1"/>
  <c r="U20" i="12" s="1"/>
  <c r="U22" i="12" s="1"/>
  <c r="U24" i="12" s="1"/>
  <c r="U26" i="12" s="1"/>
  <c r="U29" i="12" s="1"/>
  <c r="U33" i="12" s="1"/>
  <c r="U36" i="12" s="1"/>
  <c r="U39" i="12" s="1"/>
  <c r="U42" i="12" s="1"/>
  <c r="U47" i="12" s="1"/>
  <c r="N28" i="8"/>
  <c r="N31" i="8"/>
  <c r="D25" i="11"/>
  <c r="L14" i="12" l="1"/>
  <c r="L15" i="12"/>
  <c r="M14" i="12"/>
  <c r="Q14" i="12" s="1"/>
  <c r="U48" i="12"/>
  <c r="F48" i="12"/>
  <c r="H11" i="9"/>
  <c r="G12" i="10"/>
  <c r="J12" i="10" s="1"/>
  <c r="G11" i="10"/>
  <c r="J11" i="10" s="1"/>
  <c r="D12" i="10"/>
  <c r="H12" i="10" s="1"/>
  <c r="D11" i="10"/>
  <c r="H11" i="10" s="1"/>
  <c r="D10" i="10"/>
  <c r="H10" i="10" s="1"/>
  <c r="G10" i="10"/>
  <c r="K23" i="8"/>
  <c r="D46" i="8"/>
  <c r="D42" i="8"/>
  <c r="I26" i="8"/>
  <c r="N27" i="8" s="1"/>
  <c r="E26" i="8"/>
  <c r="I25" i="8"/>
  <c r="N25" i="8" s="1"/>
  <c r="E25" i="8"/>
  <c r="I22" i="8"/>
  <c r="N23" i="8" s="1"/>
  <c r="E22" i="8"/>
  <c r="I20" i="8"/>
  <c r="N21" i="8" s="1"/>
  <c r="E20" i="8"/>
  <c r="I18" i="8"/>
  <c r="N19" i="8" s="1"/>
  <c r="E18" i="8"/>
  <c r="I16" i="8"/>
  <c r="N17" i="8" s="1"/>
  <c r="E16" i="8"/>
  <c r="I14" i="8"/>
  <c r="N15" i="8" s="1"/>
  <c r="E14" i="8"/>
  <c r="I12" i="8"/>
  <c r="N13" i="8" s="1"/>
  <c r="E12" i="8"/>
  <c r="K10" i="8"/>
  <c r="L10" i="8" s="1"/>
  <c r="I10" i="8"/>
  <c r="N11" i="8" s="1"/>
  <c r="E10" i="8"/>
  <c r="F10" i="8" s="1"/>
  <c r="L11" i="10" l="1"/>
  <c r="L13" i="10" s="1"/>
  <c r="Q75" i="12" s="1"/>
  <c r="L16" i="12"/>
  <c r="M15" i="12"/>
  <c r="Q15" i="12" s="1"/>
  <c r="F26" i="8"/>
  <c r="N24" i="8"/>
  <c r="N12" i="8"/>
  <c r="N20" i="8"/>
  <c r="N18" i="8"/>
  <c r="N16" i="8"/>
  <c r="N10" i="8"/>
  <c r="P10" i="8" s="1"/>
  <c r="F22" i="8"/>
  <c r="L23" i="8" s="1"/>
  <c r="P23" i="8" s="1"/>
  <c r="F25" i="8"/>
  <c r="K25" i="8" s="1"/>
  <c r="L25" i="8" s="1"/>
  <c r="P25" i="8" s="1"/>
  <c r="F20" i="8"/>
  <c r="F18" i="8"/>
  <c r="F12" i="8"/>
  <c r="F14" i="8"/>
  <c r="F16" i="8"/>
  <c r="K11" i="8"/>
  <c r="L11" i="8" s="1"/>
  <c r="P11" i="8" s="1"/>
  <c r="M16" i="12" l="1"/>
  <c r="Q16" i="12" s="1"/>
  <c r="L17" i="12"/>
  <c r="G13" i="11"/>
  <c r="K12" i="8"/>
  <c r="L12" i="8" s="1"/>
  <c r="P12" i="8" s="1"/>
  <c r="L19" i="12" l="1"/>
  <c r="M17" i="12"/>
  <c r="Q17" i="12" s="1"/>
  <c r="K13" i="8"/>
  <c r="L13" i="8" s="1"/>
  <c r="P13" i="8" s="1"/>
  <c r="L20" i="12" l="1"/>
  <c r="M20" i="12" s="1"/>
  <c r="Q20" i="12" s="1"/>
  <c r="M19" i="12"/>
  <c r="Q19" i="12" s="1"/>
  <c r="L21" i="12"/>
  <c r="M21" i="12" s="1"/>
  <c r="Q21" i="12" s="1"/>
  <c r="K14" i="8"/>
  <c r="L14" i="8" s="1"/>
  <c r="P14" i="8" s="1"/>
  <c r="L22" i="12" l="1"/>
  <c r="M22" i="12" s="1"/>
  <c r="Q22" i="12" s="1"/>
  <c r="K15" i="8"/>
  <c r="L15" i="8" s="1"/>
  <c r="P15" i="8" s="1"/>
  <c r="L23" i="12" l="1"/>
  <c r="M23" i="12" s="1"/>
  <c r="Q23" i="12" s="1"/>
  <c r="K16" i="8"/>
  <c r="L16" i="8" s="1"/>
  <c r="P16" i="8" s="1"/>
  <c r="L24" i="12" l="1"/>
  <c r="K17" i="8"/>
  <c r="L17" i="8" s="1"/>
  <c r="P17" i="8" s="1"/>
  <c r="K18" i="8" l="1"/>
  <c r="L18" i="8" s="1"/>
  <c r="P18" i="8" s="1"/>
  <c r="L25" i="12"/>
  <c r="M24" i="12"/>
  <c r="Q24" i="12" s="1"/>
  <c r="K19" i="8" l="1"/>
  <c r="L19" i="8" s="1"/>
  <c r="P19" i="8" s="1"/>
  <c r="L26" i="12"/>
  <c r="M25" i="12"/>
  <c r="Q25" i="12" s="1"/>
  <c r="K20" i="8"/>
  <c r="L20" i="8" s="1"/>
  <c r="P20" i="8" s="1"/>
  <c r="L28" i="12" l="1"/>
  <c r="M26" i="12"/>
  <c r="Q26" i="12" s="1"/>
  <c r="K21" i="8"/>
  <c r="L21" i="8" s="1"/>
  <c r="P21" i="8" s="1"/>
  <c r="M28" i="12" l="1"/>
  <c r="Q28" i="12" s="1"/>
  <c r="L29" i="12"/>
  <c r="K22" i="8"/>
  <c r="L22" i="8" s="1"/>
  <c r="P22" i="8" s="1"/>
  <c r="L32" i="12" l="1"/>
  <c r="M29" i="12"/>
  <c r="Q29" i="12" s="1"/>
  <c r="K24" i="8"/>
  <c r="L24" i="8" s="1"/>
  <c r="P24" i="8" s="1"/>
  <c r="L33" i="12" l="1"/>
  <c r="M32" i="12"/>
  <c r="Q32" i="12" s="1"/>
  <c r="K26" i="8"/>
  <c r="L35" i="12" l="1"/>
  <c r="M33" i="12"/>
  <c r="Q33" i="12" s="1"/>
  <c r="K27" i="8"/>
  <c r="L27" i="8" s="1"/>
  <c r="P27" i="8" s="1"/>
  <c r="L26" i="8"/>
  <c r="P26" i="8" s="1"/>
  <c r="K28" i="8" l="1"/>
  <c r="L28" i="8" s="1"/>
  <c r="P28" i="8" s="1"/>
  <c r="L36" i="12"/>
  <c r="M35" i="12"/>
  <c r="Q35" i="12" s="1"/>
  <c r="K29" i="8"/>
  <c r="L29" i="8" s="1"/>
  <c r="P29" i="8" s="1"/>
  <c r="L38" i="12" l="1"/>
  <c r="M36" i="12"/>
  <c r="Q36" i="12" s="1"/>
  <c r="K30" i="8"/>
  <c r="L30" i="8" s="1"/>
  <c r="P30" i="8" s="1"/>
  <c r="L39" i="12" l="1"/>
  <c r="M38" i="12"/>
  <c r="Q38" i="12" s="1"/>
  <c r="K31" i="8"/>
  <c r="L41" i="12" l="1"/>
  <c r="M39" i="12"/>
  <c r="Q39" i="12" s="1"/>
  <c r="L31" i="8"/>
  <c r="P31" i="8" s="1"/>
  <c r="K32" i="8"/>
  <c r="K33" i="8" s="1"/>
  <c r="L42" i="12" l="1"/>
  <c r="M41" i="12"/>
  <c r="Q41" i="12" s="1"/>
  <c r="L32" i="8"/>
  <c r="P32" i="8" s="1"/>
  <c r="L33" i="8"/>
  <c r="P33" i="8" s="1"/>
  <c r="P35" i="8" s="1"/>
  <c r="L46" i="12" l="1"/>
  <c r="M42" i="12"/>
  <c r="Q42" i="12" s="1"/>
  <c r="G10" i="9"/>
  <c r="J10" i="9" s="1"/>
  <c r="L10" i="9" s="1"/>
  <c r="G11" i="11" l="1"/>
  <c r="Q73" i="12"/>
  <c r="L48" i="12"/>
  <c r="M46" i="12"/>
  <c r="Q46" i="12" s="1"/>
  <c r="J11" i="9"/>
  <c r="L11" i="9" s="1"/>
  <c r="L49" i="12" l="1"/>
  <c r="M48" i="12"/>
  <c r="Q48" i="12" s="1"/>
  <c r="L12" i="9"/>
  <c r="L50" i="12" l="1"/>
  <c r="M49" i="12"/>
  <c r="Q49" i="12" s="1"/>
  <c r="G12" i="11"/>
  <c r="Q74" i="12"/>
  <c r="L52" i="12" l="1"/>
  <c r="M50" i="12"/>
  <c r="Q50" i="12" s="1"/>
  <c r="L53" i="12" l="1"/>
  <c r="M52" i="12"/>
  <c r="Q52" i="12" s="1"/>
  <c r="L57" i="12" l="1"/>
  <c r="M53" i="12"/>
  <c r="Q53" i="12" s="1"/>
  <c r="L59" i="12" l="1"/>
  <c r="M57" i="12"/>
  <c r="Q57" i="12" s="1"/>
  <c r="L64" i="12" l="1"/>
  <c r="M59" i="12"/>
  <c r="Q59" i="12" s="1"/>
  <c r="L65" i="12" l="1"/>
  <c r="M64" i="12"/>
  <c r="Q64" i="12" s="1"/>
  <c r="L66" i="12" l="1"/>
  <c r="M65" i="12"/>
  <c r="Q65" i="12" s="1"/>
  <c r="L67" i="12" l="1"/>
  <c r="L69" i="12" s="1"/>
  <c r="M66" i="12"/>
  <c r="Q66" i="12" s="1"/>
  <c r="M69" i="12" l="1"/>
  <c r="L70" i="12"/>
  <c r="M67" i="12"/>
  <c r="Q67" i="12" s="1"/>
  <c r="M70" i="12" l="1"/>
  <c r="Q70" i="12" s="1"/>
  <c r="L71" i="12"/>
  <c r="M71" i="12" s="1"/>
  <c r="Q71" i="12" s="1"/>
  <c r="Q69" i="12"/>
  <c r="Q72" i="12" l="1"/>
  <c r="Q76" i="12"/>
  <c r="G10" i="11"/>
  <c r="G14" i="11" s="1"/>
</calcChain>
</file>

<file path=xl/sharedStrings.xml><?xml version="1.0" encoding="utf-8"?>
<sst xmlns="http://schemas.openxmlformats.org/spreadsheetml/2006/main" count="202" uniqueCount="41">
  <si>
    <t>شماره</t>
  </si>
  <si>
    <t>فرمول محاسبه</t>
  </si>
  <si>
    <t>مدت تمدید
(روز)</t>
  </si>
  <si>
    <t>تاریخ تحویل زمین:</t>
  </si>
  <si>
    <t>ریال</t>
  </si>
  <si>
    <t>روز</t>
  </si>
  <si>
    <t>تاریخ پرداخت 
طبق پیمان</t>
  </si>
  <si>
    <t>مبلغ تجمعی (ریال)</t>
  </si>
  <si>
    <t>مبلغ پیمان(D):</t>
  </si>
  <si>
    <t>مدت پیمان(E):</t>
  </si>
  <si>
    <t>مدت مجاز 
پرداخت
(روز)</t>
  </si>
  <si>
    <t>تاریخ ارسال صورت وضعیت</t>
  </si>
  <si>
    <t>مبلغ پرداختی
(ريال)</t>
  </si>
  <si>
    <t>جمع کل (ريال)</t>
  </si>
  <si>
    <t>تاریخ واقعی پرداخت
به تفکیک صورت وضعیت
(ريال)</t>
  </si>
  <si>
    <t>مبلغ پرداختی
(ريال)
(A)</t>
  </si>
  <si>
    <t>تاخیر پرداخت
(B)</t>
  </si>
  <si>
    <t xml:space="preserve">دوره صورت وضعیت
</t>
  </si>
  <si>
    <t xml:space="preserve">مبلغ خالص دوره (ریال)
</t>
  </si>
  <si>
    <t xml:space="preserve">مبلغ ناخالص دوره (ریال)
</t>
  </si>
  <si>
    <t>مبلغ (ریال)</t>
  </si>
  <si>
    <t>تاخیر در تأدیه اصل بدهی صورت وضعیت های تعدیل</t>
  </si>
  <si>
    <t>تاخیر در تأدیه اصل بدهی صورت وضعیت ها</t>
  </si>
  <si>
    <t>تاخیر در تأدیه اصل بدهی پیش پرداخت ها</t>
  </si>
  <si>
    <t>تاخیر در تأدیه اصل بدهی آزادسازی حسن انجام کار</t>
  </si>
  <si>
    <t>تاخیر در تأدیه اصل بدهی</t>
  </si>
  <si>
    <t>شرح</t>
  </si>
  <si>
    <t>ردیف</t>
  </si>
  <si>
    <t>مبلغ</t>
  </si>
  <si>
    <t>تاریخ ارسال ضمانتنامه</t>
  </si>
  <si>
    <t>-</t>
  </si>
  <si>
    <t>1405/01/18</t>
  </si>
  <si>
    <t xml:space="preserve">مبلغ پرداختی
(ريال)
</t>
  </si>
  <si>
    <t>مبلغ ناخالص مشمول تاخیر
(ریال)
(A)</t>
  </si>
  <si>
    <t>مبلغ تاخیر تادیه (روز)</t>
  </si>
  <si>
    <t>مبلغ تاخیر تادیه (ریال)</t>
  </si>
  <si>
    <t>A*(B/365)*0.537</t>
  </si>
  <si>
    <t xml:space="preserve">نام پروژه: </t>
  </si>
  <si>
    <t xml:space="preserve">کارفرما: </t>
  </si>
  <si>
    <t xml:space="preserve">پیمانکار: </t>
  </si>
  <si>
    <t>کارفرما: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</si>
</sst>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960429]yyyy/mm/dd;@"/>
    <numFmt numFmtId="165" formatCode="[$-160429]yyyy/mm/dd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0"/>
      <color theme="1"/>
      <name val="B Nazanin"/>
      <charset val="178"/>
    </font>
    <font>
      <sz val="12"/>
      <name val="B Nazanin"/>
      <charset val="178"/>
    </font>
    <font>
      <sz val="8"/>
      <name val="Calibri"/>
      <family val="2"/>
      <scheme val="minor"/>
    </font>
    <font>
      <sz val="14"/>
      <color theme="1"/>
      <name val="B Nazanin"/>
      <charset val="178"/>
    </font>
    <font>
      <sz val="12"/>
      <color rgb="FFFF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1" fillId="0" borderId="0" xfId="0" applyNumberFormat="1" applyFont="1"/>
    <xf numFmtId="165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readingOrder="2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readingOrder="2"/>
    </xf>
    <xf numFmtId="3" fontId="1" fillId="2" borderId="5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0" xfId="0" applyNumberFormat="1" applyFont="1"/>
    <xf numFmtId="3" fontId="5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readingOrder="2"/>
    </xf>
    <xf numFmtId="164" fontId="5" fillId="3" borderId="1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/>
    </xf>
    <xf numFmtId="3" fontId="3" fillId="4" borderId="9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center"/>
    </xf>
    <xf numFmtId="0" fontId="1" fillId="0" borderId="29" xfId="0" applyFont="1" applyBorder="1"/>
    <xf numFmtId="0" fontId="1" fillId="0" borderId="30" xfId="0" applyFont="1" applyBorder="1" applyAlignment="1">
      <alignment horizontal="center" vertical="center"/>
    </xf>
    <xf numFmtId="164" fontId="1" fillId="0" borderId="29" xfId="0" applyNumberFormat="1" applyFont="1" applyBorder="1"/>
    <xf numFmtId="0" fontId="1" fillId="0" borderId="30" xfId="0" applyFont="1" applyBorder="1"/>
    <xf numFmtId="3" fontId="1" fillId="2" borderId="10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readingOrder="2"/>
    </xf>
    <xf numFmtId="3" fontId="8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readingOrder="2"/>
    </xf>
    <xf numFmtId="164" fontId="1" fillId="0" borderId="10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readingOrder="2"/>
    </xf>
    <xf numFmtId="0" fontId="1" fillId="2" borderId="14" xfId="0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3" fillId="4" borderId="25" xfId="0" applyNumberFormat="1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/>
    </xf>
    <xf numFmtId="3" fontId="7" fillId="0" borderId="32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30" xfId="0" applyFont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readingOrder="2"/>
    </xf>
    <xf numFmtId="0" fontId="1" fillId="0" borderId="12" xfId="0" applyFont="1" applyBorder="1" applyAlignment="1">
      <alignment horizontal="center" vertical="center" readingOrder="2"/>
    </xf>
    <xf numFmtId="3" fontId="5" fillId="0" borderId="11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readingOrder="2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readingOrder="2"/>
    </xf>
    <xf numFmtId="164" fontId="1" fillId="0" borderId="1" xfId="0" applyNumberFormat="1" applyFont="1" applyBorder="1" applyAlignment="1">
      <alignment horizontal="center" vertical="center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164" fontId="1" fillId="0" borderId="10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3" fontId="5" fillId="0" borderId="34" xfId="0" applyNumberFormat="1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readingOrder="2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readingOrder="2"/>
    </xf>
    <xf numFmtId="0" fontId="1" fillId="3" borderId="4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readingOrder="2"/>
    </xf>
    <xf numFmtId="164" fontId="5" fillId="3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readingOrder="2"/>
    </xf>
    <xf numFmtId="0" fontId="1" fillId="2" borderId="12" xfId="0" applyFont="1" applyFill="1" applyBorder="1" applyAlignment="1">
      <alignment horizontal="center" vertical="center" readingOrder="2"/>
    </xf>
    <xf numFmtId="0" fontId="1" fillId="2" borderId="11" xfId="0" applyFont="1" applyFill="1" applyBorder="1" applyAlignment="1">
      <alignment horizontal="center" vertical="center" readingOrder="2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/>
    </xf>
    <xf numFmtId="3" fontId="1" fillId="3" borderId="11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readingOrder="2"/>
    </xf>
    <xf numFmtId="0" fontId="1" fillId="3" borderId="11" xfId="0" applyFont="1" applyFill="1" applyBorder="1" applyAlignment="1">
      <alignment horizontal="center" vertical="center" readingOrder="2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H25"/>
  <sheetViews>
    <sheetView rightToLeft="1" view="pageBreakPreview" zoomScale="90" zoomScaleNormal="115" zoomScaleSheetLayoutView="90" workbookViewId="0">
      <selection activeCell="G5" sqref="G5"/>
    </sheetView>
  </sheetViews>
  <sheetFormatPr defaultColWidth="9.109375" defaultRowHeight="18.600000000000001" x14ac:dyDescent="0.55000000000000004"/>
  <cols>
    <col min="1" max="2" width="9.109375" style="1"/>
    <col min="3" max="3" width="13.6640625" style="1" customWidth="1"/>
    <col min="4" max="4" width="16.44140625" style="1" bestFit="1" customWidth="1"/>
    <col min="5" max="5" width="16.5546875" style="1" bestFit="1" customWidth="1"/>
    <col min="6" max="6" width="25.33203125" style="1" customWidth="1"/>
    <col min="7" max="7" width="12.44140625" style="1" customWidth="1"/>
    <col min="8" max="8" width="16" style="1" customWidth="1"/>
    <col min="9" max="16384" width="9.109375" style="1"/>
  </cols>
  <sheetData>
    <row r="1" spans="3:8" ht="24" thickBot="1" x14ac:dyDescent="0.8">
      <c r="C1" s="91"/>
      <c r="D1" s="91"/>
      <c r="E1" s="91"/>
      <c r="F1" s="91"/>
      <c r="G1" s="91"/>
      <c r="H1" s="91"/>
    </row>
    <row r="2" spans="3:8" ht="23.4" x14ac:dyDescent="0.75">
      <c r="C2" s="92" t="s">
        <v>25</v>
      </c>
      <c r="D2" s="93"/>
      <c r="E2" s="93"/>
      <c r="F2" s="93"/>
      <c r="G2" s="93"/>
      <c r="H2" s="94"/>
    </row>
    <row r="3" spans="3:8" ht="23.4" x14ac:dyDescent="0.75">
      <c r="C3" s="95" t="s">
        <v>37</v>
      </c>
      <c r="D3" s="91"/>
      <c r="E3" s="91"/>
      <c r="F3" s="91"/>
      <c r="G3" s="91"/>
      <c r="H3" s="96"/>
    </row>
    <row r="4" spans="3:8" ht="20.399999999999999" x14ac:dyDescent="0.65">
      <c r="C4" s="97" t="s">
        <v>38</v>
      </c>
      <c r="D4" s="98"/>
      <c r="E4" s="98"/>
      <c r="F4" s="98"/>
      <c r="G4" s="99" t="s">
        <v>39</v>
      </c>
      <c r="H4" s="100"/>
    </row>
    <row r="5" spans="3:8" ht="11.25" customHeight="1" x14ac:dyDescent="0.65">
      <c r="C5" s="37"/>
      <c r="D5" s="6"/>
      <c r="E5" s="6"/>
      <c r="F5" s="6"/>
      <c r="G5" s="5"/>
      <c r="H5" s="38"/>
    </row>
    <row r="6" spans="3:8" x14ac:dyDescent="0.55000000000000004">
      <c r="C6" s="39" t="s">
        <v>3</v>
      </c>
      <c r="E6" s="2" t="s">
        <v>8</v>
      </c>
      <c r="F6" s="30">
        <v>231630000000</v>
      </c>
      <c r="G6" s="1" t="s">
        <v>4</v>
      </c>
      <c r="H6" s="40"/>
    </row>
    <row r="7" spans="3:8" x14ac:dyDescent="0.55000000000000004">
      <c r="C7" s="41">
        <v>45385</v>
      </c>
      <c r="D7" s="8"/>
      <c r="E7" s="2" t="s">
        <v>9</v>
      </c>
      <c r="F7" s="32">
        <v>365</v>
      </c>
      <c r="G7" s="32" t="s">
        <v>5</v>
      </c>
      <c r="H7" s="40"/>
    </row>
    <row r="8" spans="3:8" ht="11.25" customHeight="1" thickBot="1" x14ac:dyDescent="0.6">
      <c r="C8" s="39"/>
      <c r="H8" s="42"/>
    </row>
    <row r="9" spans="3:8" ht="51" customHeight="1" x14ac:dyDescent="0.55000000000000004">
      <c r="C9" s="18" t="s">
        <v>27</v>
      </c>
      <c r="D9" s="77" t="s">
        <v>26</v>
      </c>
      <c r="E9" s="82"/>
      <c r="F9" s="83"/>
      <c r="G9" s="77" t="s">
        <v>28</v>
      </c>
      <c r="H9" s="78"/>
    </row>
    <row r="10" spans="3:8" ht="21.6" x14ac:dyDescent="0.55000000000000004">
      <c r="C10" s="36">
        <v>1</v>
      </c>
      <c r="D10" s="79" t="s">
        <v>22</v>
      </c>
      <c r="E10" s="84"/>
      <c r="F10" s="85"/>
      <c r="G10" s="79">
        <f>'صورت وضعیت '!Q72</f>
        <v>4724107181.9273949</v>
      </c>
      <c r="H10" s="80"/>
    </row>
    <row r="11" spans="3:8" ht="21.6" x14ac:dyDescent="0.55000000000000004">
      <c r="C11" s="36">
        <v>2</v>
      </c>
      <c r="D11" s="79" t="s">
        <v>21</v>
      </c>
      <c r="E11" s="84"/>
      <c r="F11" s="85"/>
      <c r="G11" s="79">
        <f>تعدیل!P35</f>
        <v>15947743440.804937</v>
      </c>
      <c r="H11" s="80"/>
    </row>
    <row r="12" spans="3:8" ht="21.6" x14ac:dyDescent="0.55000000000000004">
      <c r="C12" s="36">
        <v>3</v>
      </c>
      <c r="D12" s="79" t="s">
        <v>24</v>
      </c>
      <c r="E12" s="84"/>
      <c r="F12" s="85"/>
      <c r="G12" s="79">
        <f>حسن!L12</f>
        <v>2890338436.4031615</v>
      </c>
      <c r="H12" s="80"/>
    </row>
    <row r="13" spans="3:8" ht="21.6" x14ac:dyDescent="0.55000000000000004">
      <c r="C13" s="36">
        <v>4</v>
      </c>
      <c r="D13" s="79" t="s">
        <v>23</v>
      </c>
      <c r="E13" s="84"/>
      <c r="F13" s="85"/>
      <c r="G13" s="79">
        <f>'پیش پرداخت'!L13</f>
        <v>122681401.64383563</v>
      </c>
      <c r="H13" s="80"/>
    </row>
    <row r="14" spans="3:8" ht="24" thickBot="1" x14ac:dyDescent="0.8">
      <c r="C14" s="86" t="s">
        <v>13</v>
      </c>
      <c r="D14" s="87"/>
      <c r="E14" s="87"/>
      <c r="F14" s="88"/>
      <c r="G14" s="75">
        <f>SUM(G10:H13)</f>
        <v>23684870460.779327</v>
      </c>
      <c r="H14" s="76"/>
    </row>
    <row r="19" spans="4:6" x14ac:dyDescent="0.55000000000000004">
      <c r="D19" s="81"/>
      <c r="E19" s="81"/>
      <c r="F19" s="9"/>
    </row>
    <row r="20" spans="4:6" x14ac:dyDescent="0.55000000000000004">
      <c r="D20" s="81"/>
      <c r="E20" s="81"/>
      <c r="F20" s="9"/>
    </row>
    <row r="23" spans="4:6" x14ac:dyDescent="0.55000000000000004">
      <c r="D23" s="8">
        <v>45385</v>
      </c>
    </row>
    <row r="24" spans="4:6" x14ac:dyDescent="0.55000000000000004">
      <c r="D24" s="8">
        <v>45386</v>
      </c>
    </row>
    <row r="25" spans="4:6" x14ac:dyDescent="0.55000000000000004">
      <c r="D25" s="1">
        <f>D24-D23</f>
        <v>1</v>
      </c>
    </row>
  </sheetData>
  <mergeCells count="19">
    <mergeCell ref="C1:H1"/>
    <mergeCell ref="C2:H2"/>
    <mergeCell ref="C3:H3"/>
    <mergeCell ref="C4:F4"/>
    <mergeCell ref="G4:H4"/>
    <mergeCell ref="D19:E19"/>
    <mergeCell ref="D20:E20"/>
    <mergeCell ref="D9:F9"/>
    <mergeCell ref="D10:F10"/>
    <mergeCell ref="D11:F11"/>
    <mergeCell ref="D12:F12"/>
    <mergeCell ref="D13:F13"/>
    <mergeCell ref="C14:F14"/>
    <mergeCell ref="G14:H14"/>
    <mergeCell ref="G9:H9"/>
    <mergeCell ref="G10:H10"/>
    <mergeCell ref="G11:H11"/>
    <mergeCell ref="G12:H12"/>
    <mergeCell ref="G13:H13"/>
  </mergeCells>
  <printOptions horizontalCentered="1"/>
  <pageMargins left="0" right="0" top="0.75" bottom="0.25" header="0.3" footer="0.3"/>
  <pageSetup paperSize="9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U83"/>
  <sheetViews>
    <sheetView rightToLeft="1" view="pageBreakPreview" zoomScale="110" zoomScaleNormal="115" zoomScaleSheetLayoutView="110" workbookViewId="0">
      <selection activeCell="A6" sqref="A6"/>
    </sheetView>
  </sheetViews>
  <sheetFormatPr defaultColWidth="9.109375" defaultRowHeight="18.600000000000001" x14ac:dyDescent="0.55000000000000004"/>
  <cols>
    <col min="1" max="2" width="9.109375" style="1"/>
    <col min="3" max="3" width="9.109375" style="47"/>
    <col min="4" max="4" width="16.44140625" style="1" bestFit="1" customWidth="1"/>
    <col min="5" max="5" width="16.5546875" style="1" bestFit="1" customWidth="1"/>
    <col min="6" max="6" width="16.5546875" style="1" customWidth="1"/>
    <col min="7" max="7" width="14.88671875" style="1" customWidth="1"/>
    <col min="8" max="8" width="12.44140625" style="1" hidden="1" customWidth="1"/>
    <col min="9" max="9" width="8.109375" style="47" bestFit="1" customWidth="1"/>
    <col min="10" max="10" width="11.5546875" style="1" bestFit="1" customWidth="1"/>
    <col min="11" max="11" width="15.6640625" style="62" bestFit="1" customWidth="1"/>
    <col min="12" max="13" width="19.44140625" style="1" customWidth="1"/>
    <col min="14" max="14" width="18.44140625" style="1" customWidth="1"/>
    <col min="15" max="15" width="11" style="1" bestFit="1" customWidth="1"/>
    <col min="16" max="16" width="18.109375" style="1" customWidth="1"/>
    <col min="17" max="17" width="18.33203125" style="1" bestFit="1" customWidth="1"/>
    <col min="18" max="19" width="9.109375" style="1"/>
    <col min="20" max="20" width="15.5546875" style="1" bestFit="1" customWidth="1"/>
    <col min="21" max="21" width="15.6640625" style="1" bestFit="1" customWidth="1"/>
    <col min="22" max="22" width="20.33203125" style="1" customWidth="1"/>
    <col min="23" max="16384" width="9.109375" style="1"/>
  </cols>
  <sheetData>
    <row r="1" spans="3:21" ht="23.4" x14ac:dyDescent="0.75"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3:21" ht="23.4" x14ac:dyDescent="0.75">
      <c r="C2" s="91" t="s">
        <v>22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3:21" ht="23.4" x14ac:dyDescent="0.75">
      <c r="C3" s="91" t="s">
        <v>37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3:21" ht="20.399999999999999" x14ac:dyDescent="0.65">
      <c r="C4" s="98" t="s">
        <v>40</v>
      </c>
      <c r="D4" s="98"/>
      <c r="E4" s="98"/>
      <c r="F4" s="98"/>
      <c r="G4" s="132"/>
      <c r="H4" s="132"/>
      <c r="I4" s="132"/>
      <c r="J4" s="132"/>
      <c r="K4" s="132"/>
      <c r="L4" s="132"/>
      <c r="M4" s="5"/>
      <c r="N4" s="99" t="s">
        <v>39</v>
      </c>
      <c r="O4" s="99"/>
      <c r="P4" s="99"/>
      <c r="Q4" s="99"/>
    </row>
    <row r="5" spans="3:21" ht="11.25" customHeight="1" x14ac:dyDescent="0.65">
      <c r="C5" s="5"/>
      <c r="D5" s="6"/>
      <c r="E5" s="6"/>
      <c r="F5" s="6"/>
      <c r="G5" s="5"/>
      <c r="H5" s="5"/>
      <c r="I5" s="5"/>
      <c r="J5" s="5"/>
      <c r="K5" s="61"/>
      <c r="L5" s="5"/>
      <c r="M5" s="5"/>
      <c r="N5" s="7"/>
      <c r="O5" s="7"/>
      <c r="P5" s="7"/>
      <c r="Q5" s="7"/>
    </row>
    <row r="6" spans="3:21" x14ac:dyDescent="0.55000000000000004">
      <c r="C6" s="130" t="s">
        <v>3</v>
      </c>
      <c r="D6" s="130"/>
      <c r="E6" s="133">
        <v>45385</v>
      </c>
      <c r="F6" s="133"/>
      <c r="G6" s="2" t="s">
        <v>8</v>
      </c>
      <c r="H6" s="2"/>
      <c r="J6" s="134">
        <v>231630000000</v>
      </c>
      <c r="K6" s="134"/>
      <c r="L6" s="3" t="s">
        <v>4</v>
      </c>
      <c r="M6" s="3"/>
      <c r="N6" s="135"/>
      <c r="O6" s="135"/>
      <c r="P6" s="136"/>
      <c r="Q6" s="136"/>
    </row>
    <row r="7" spans="3:21" x14ac:dyDescent="0.55000000000000004">
      <c r="C7" s="130"/>
      <c r="D7" s="130"/>
      <c r="F7" s="2"/>
      <c r="G7" s="2" t="s">
        <v>9</v>
      </c>
      <c r="H7" s="2"/>
      <c r="J7" s="131">
        <v>365</v>
      </c>
      <c r="K7" s="131"/>
      <c r="L7" s="3" t="s">
        <v>5</v>
      </c>
      <c r="M7" s="3"/>
      <c r="N7" s="130"/>
      <c r="O7" s="130"/>
      <c r="P7" s="130"/>
      <c r="Q7" s="130"/>
    </row>
    <row r="8" spans="3:21" ht="11.25" customHeight="1" thickBot="1" x14ac:dyDescent="0.6"/>
    <row r="9" spans="3:21" ht="51" customHeight="1" x14ac:dyDescent="0.55000000000000004">
      <c r="C9" s="18" t="s">
        <v>0</v>
      </c>
      <c r="D9" s="19" t="s">
        <v>7</v>
      </c>
      <c r="E9" s="19" t="s">
        <v>19</v>
      </c>
      <c r="F9" s="19" t="s">
        <v>18</v>
      </c>
      <c r="G9" s="19" t="s">
        <v>11</v>
      </c>
      <c r="H9" s="19" t="s">
        <v>17</v>
      </c>
      <c r="I9" s="19" t="s">
        <v>10</v>
      </c>
      <c r="J9" s="19" t="s">
        <v>6</v>
      </c>
      <c r="K9" s="19" t="s">
        <v>12</v>
      </c>
      <c r="L9" s="19" t="s">
        <v>32</v>
      </c>
      <c r="M9" s="19" t="s">
        <v>33</v>
      </c>
      <c r="N9" s="19" t="s">
        <v>14</v>
      </c>
      <c r="O9" s="19" t="s">
        <v>16</v>
      </c>
      <c r="P9" s="19" t="s">
        <v>1</v>
      </c>
      <c r="Q9" s="20" t="s">
        <v>34</v>
      </c>
      <c r="U9" s="4">
        <f>J6*0.2</f>
        <v>46326000000</v>
      </c>
    </row>
    <row r="10" spans="3:21" x14ac:dyDescent="0.55000000000000004">
      <c r="C10" s="114">
        <v>1</v>
      </c>
      <c r="D10" s="115">
        <v>3034353000</v>
      </c>
      <c r="E10" s="116">
        <f>D10</f>
        <v>3034353000</v>
      </c>
      <c r="F10" s="116">
        <f>E10*(1-0.1-0.05+0.09)</f>
        <v>2852291820</v>
      </c>
      <c r="G10" s="117">
        <v>45395</v>
      </c>
      <c r="H10" s="115" t="e">
        <f>#REF!-#REF!+1</f>
        <v>#REF!</v>
      </c>
      <c r="I10" s="118">
        <v>10</v>
      </c>
      <c r="J10" s="119">
        <f>G10+I10</f>
        <v>45405</v>
      </c>
      <c r="K10" s="64">
        <v>2372864046</v>
      </c>
      <c r="L10" s="4">
        <f>K10</f>
        <v>2372864046</v>
      </c>
      <c r="M10" s="4">
        <f>L10*E10/F10</f>
        <v>2524323453.1914892</v>
      </c>
      <c r="N10" s="10">
        <v>45409</v>
      </c>
      <c r="O10" s="49">
        <f>N10-J10</f>
        <v>4</v>
      </c>
      <c r="P10" s="49" t="s">
        <v>36</v>
      </c>
      <c r="Q10" s="4">
        <f>M10*O10/365*0.537</f>
        <v>14855470.623165259</v>
      </c>
      <c r="T10" s="4">
        <v>0</v>
      </c>
      <c r="U10" s="4">
        <f>$U$9-T10</f>
        <v>46326000000</v>
      </c>
    </row>
    <row r="11" spans="3:21" x14ac:dyDescent="0.55000000000000004">
      <c r="C11" s="114"/>
      <c r="D11" s="115"/>
      <c r="E11" s="116"/>
      <c r="F11" s="116"/>
      <c r="G11" s="117"/>
      <c r="H11" s="115"/>
      <c r="I11" s="118"/>
      <c r="J11" s="119"/>
      <c r="K11" s="53">
        <v>236679534</v>
      </c>
      <c r="L11" s="4">
        <f>K11</f>
        <v>236679534</v>
      </c>
      <c r="M11" s="4">
        <f>L11*E10/F10</f>
        <v>251786738.29787233</v>
      </c>
      <c r="N11" s="10">
        <v>45409</v>
      </c>
      <c r="O11" s="49">
        <f>N11-J10</f>
        <v>4</v>
      </c>
      <c r="P11" s="49" t="s">
        <v>36</v>
      </c>
      <c r="Q11" s="4">
        <f t="shared" ref="Q11:Q71" si="0">M11*O11/365*0.537</f>
        <v>1481747.7092159721</v>
      </c>
      <c r="T11" s="4"/>
      <c r="U11" s="4"/>
    </row>
    <row r="12" spans="3:21" x14ac:dyDescent="0.55000000000000004">
      <c r="C12" s="114"/>
      <c r="D12" s="115"/>
      <c r="E12" s="116"/>
      <c r="F12" s="116"/>
      <c r="G12" s="117"/>
      <c r="H12" s="115"/>
      <c r="I12" s="118"/>
      <c r="J12" s="119"/>
      <c r="K12" s="116">
        <v>13445879401</v>
      </c>
      <c r="L12" s="4">
        <f>F10-L10-L11</f>
        <v>242748240</v>
      </c>
      <c r="M12" s="4">
        <f>L12*E10/F10</f>
        <v>258242808.5106383</v>
      </c>
      <c r="N12" s="10">
        <v>45445</v>
      </c>
      <c r="O12" s="49">
        <f>N12-J10</f>
        <v>40</v>
      </c>
      <c r="P12" s="49" t="s">
        <v>36</v>
      </c>
      <c r="Q12" s="4">
        <f t="shared" si="0"/>
        <v>15197412.402215097</v>
      </c>
      <c r="T12" s="4"/>
      <c r="U12" s="4"/>
    </row>
    <row r="13" spans="3:21" x14ac:dyDescent="0.55000000000000004">
      <c r="C13" s="101">
        <v>2</v>
      </c>
      <c r="D13" s="89">
        <v>20228572182</v>
      </c>
      <c r="E13" s="104">
        <f>D13-D10</f>
        <v>17194219182</v>
      </c>
      <c r="F13" s="104">
        <f>E13*(1-0.1-0.05-0.14+0.1)</f>
        <v>13927317537.419998</v>
      </c>
      <c r="G13" s="106">
        <v>45423</v>
      </c>
      <c r="H13" s="48" t="e">
        <f>#REF!-#REF!</f>
        <v>#REF!</v>
      </c>
      <c r="I13" s="52">
        <v>10</v>
      </c>
      <c r="J13" s="122">
        <f t="shared" ref="J13:J53" si="1">G13+I13</f>
        <v>45433</v>
      </c>
      <c r="K13" s="116"/>
      <c r="L13" s="4">
        <f>K12-L12</f>
        <v>13203131161</v>
      </c>
      <c r="M13" s="4">
        <f>L13*E13/F13</f>
        <v>16300161927.160496</v>
      </c>
      <c r="N13" s="10">
        <v>45445</v>
      </c>
      <c r="O13" s="49">
        <f>N13-J13</f>
        <v>12</v>
      </c>
      <c r="P13" s="49" t="s">
        <v>36</v>
      </c>
      <c r="Q13" s="4">
        <f t="shared" si="0"/>
        <v>287776009.47567743</v>
      </c>
      <c r="T13" s="4">
        <f>E13*0.14</f>
        <v>2407190685.48</v>
      </c>
      <c r="U13" s="4">
        <f>U10-T13</f>
        <v>43918809314.519997</v>
      </c>
    </row>
    <row r="14" spans="3:21" x14ac:dyDescent="0.55000000000000004">
      <c r="C14" s="113"/>
      <c r="D14" s="90"/>
      <c r="E14" s="110"/>
      <c r="F14" s="110"/>
      <c r="G14" s="111"/>
      <c r="H14" s="48"/>
      <c r="I14" s="52"/>
      <c r="J14" s="124"/>
      <c r="K14" s="127">
        <v>1341149096</v>
      </c>
      <c r="L14" s="4">
        <f>F13-L13</f>
        <v>724186376.41999817</v>
      </c>
      <c r="M14" s="4">
        <f>L14*E13/F13</f>
        <v>894057254.839504</v>
      </c>
      <c r="N14" s="10">
        <v>45459</v>
      </c>
      <c r="O14" s="49">
        <f>N14-J13</f>
        <v>26</v>
      </c>
      <c r="P14" s="49" t="s">
        <v>36</v>
      </c>
      <c r="Q14" s="4">
        <f t="shared" si="0"/>
        <v>34199527.101559326</v>
      </c>
      <c r="T14" s="4"/>
      <c r="U14" s="4"/>
    </row>
    <row r="15" spans="3:21" x14ac:dyDescent="0.55000000000000004">
      <c r="C15" s="101">
        <v>3</v>
      </c>
      <c r="D15" s="89">
        <v>33468466182</v>
      </c>
      <c r="E15" s="104">
        <f>D15-D13</f>
        <v>13239894000</v>
      </c>
      <c r="F15" s="104">
        <f t="shared" ref="F15:F24" si="2">E15*(1-0.1-0.05-0.14+0.1)</f>
        <v>10724314140</v>
      </c>
      <c r="G15" s="106">
        <v>45473</v>
      </c>
      <c r="H15" s="48" t="e">
        <f>#REF!-#REF!</f>
        <v>#REF!</v>
      </c>
      <c r="I15" s="52">
        <v>10</v>
      </c>
      <c r="J15" s="122">
        <f t="shared" si="1"/>
        <v>45483</v>
      </c>
      <c r="K15" s="128"/>
      <c r="L15" s="4">
        <f>K14-L14</f>
        <v>616962719.58000183</v>
      </c>
      <c r="M15" s="4">
        <f>L15*E15/F15</f>
        <v>761682369.85185409</v>
      </c>
      <c r="N15" s="10">
        <v>45459</v>
      </c>
      <c r="O15" s="49">
        <v>0</v>
      </c>
      <c r="P15" s="49" t="s">
        <v>36</v>
      </c>
      <c r="Q15" s="4">
        <f t="shared" si="0"/>
        <v>0</v>
      </c>
      <c r="T15" s="4">
        <f>E15*0.14</f>
        <v>1853585160.0000002</v>
      </c>
      <c r="U15" s="4">
        <f>U13-T15</f>
        <v>42065224154.519997</v>
      </c>
    </row>
    <row r="16" spans="3:21" x14ac:dyDescent="0.55000000000000004">
      <c r="C16" s="113"/>
      <c r="D16" s="90"/>
      <c r="E16" s="110"/>
      <c r="F16" s="110"/>
      <c r="G16" s="111"/>
      <c r="H16" s="48"/>
      <c r="I16" s="52"/>
      <c r="J16" s="124"/>
      <c r="K16" s="104">
        <v>10353597108</v>
      </c>
      <c r="L16" s="4">
        <f>F15-L15</f>
        <v>10107351420.419998</v>
      </c>
      <c r="M16" s="4">
        <f>L16*E15/F15</f>
        <v>12478211630.148146</v>
      </c>
      <c r="N16" s="10">
        <v>45497</v>
      </c>
      <c r="O16" s="49">
        <f>N16-J15</f>
        <v>14</v>
      </c>
      <c r="P16" s="49" t="s">
        <v>36</v>
      </c>
      <c r="Q16" s="4">
        <f t="shared" si="0"/>
        <v>257016972.69987333</v>
      </c>
      <c r="T16" s="4"/>
      <c r="U16" s="4"/>
    </row>
    <row r="17" spans="3:21" x14ac:dyDescent="0.55000000000000004">
      <c r="C17" s="114">
        <v>4</v>
      </c>
      <c r="D17" s="115">
        <v>46989658965</v>
      </c>
      <c r="E17" s="116">
        <f>D17-D15</f>
        <v>13521192783</v>
      </c>
      <c r="F17" s="116">
        <f t="shared" si="2"/>
        <v>10952166154.23</v>
      </c>
      <c r="G17" s="117">
        <v>45512</v>
      </c>
      <c r="H17" s="115" t="e">
        <f>#REF!-#REF!</f>
        <v>#REF!</v>
      </c>
      <c r="I17" s="118">
        <v>10</v>
      </c>
      <c r="J17" s="119">
        <f t="shared" si="1"/>
        <v>45522</v>
      </c>
      <c r="K17" s="110"/>
      <c r="L17" s="4">
        <f>K16-L16</f>
        <v>246245687.58000183</v>
      </c>
      <c r="M17" s="4">
        <f>L17*E17/F17</f>
        <v>304007021.70370597</v>
      </c>
      <c r="N17" s="10">
        <v>45497</v>
      </c>
      <c r="O17" s="49">
        <v>0</v>
      </c>
      <c r="P17" s="49" t="s">
        <v>36</v>
      </c>
      <c r="Q17" s="4">
        <f t="shared" si="0"/>
        <v>0</v>
      </c>
      <c r="T17" s="4">
        <f>E17*0.14</f>
        <v>1892966989.6200001</v>
      </c>
      <c r="U17" s="4">
        <f>U15-T17</f>
        <v>40172257164.899994</v>
      </c>
    </row>
    <row r="18" spans="3:21" x14ac:dyDescent="0.55000000000000004">
      <c r="C18" s="114"/>
      <c r="D18" s="115"/>
      <c r="E18" s="116"/>
      <c r="F18" s="116"/>
      <c r="G18" s="117"/>
      <c r="H18" s="115"/>
      <c r="I18" s="118"/>
      <c r="J18" s="119"/>
      <c r="K18" s="64">
        <v>10573572757</v>
      </c>
      <c r="L18" s="4">
        <f>K18</f>
        <v>10573572757</v>
      </c>
      <c r="M18" s="4">
        <f>L18*E17/F17</f>
        <v>13053793527.160494</v>
      </c>
      <c r="N18" s="10">
        <v>45525</v>
      </c>
      <c r="O18" s="49">
        <f>N18-J17</f>
        <v>3</v>
      </c>
      <c r="P18" s="49" t="s">
        <v>36</v>
      </c>
      <c r="Q18" s="4">
        <f t="shared" si="0"/>
        <v>57615510.608919337</v>
      </c>
      <c r="T18" s="4"/>
      <c r="U18" s="4"/>
    </row>
    <row r="19" spans="3:21" x14ac:dyDescent="0.55000000000000004">
      <c r="C19" s="114"/>
      <c r="D19" s="115"/>
      <c r="E19" s="116"/>
      <c r="F19" s="116"/>
      <c r="G19" s="117"/>
      <c r="H19" s="115"/>
      <c r="I19" s="118"/>
      <c r="J19" s="119"/>
      <c r="K19" s="116">
        <v>8874602101</v>
      </c>
      <c r="L19" s="4">
        <f>F17-L17-L18</f>
        <v>132347709.64999771</v>
      </c>
      <c r="M19" s="4">
        <f>L19*E17/F17</f>
        <v>163392234.13579965</v>
      </c>
      <c r="N19" s="10">
        <v>45542</v>
      </c>
      <c r="O19" s="49">
        <f>N19-J17</f>
        <v>20</v>
      </c>
      <c r="P19" s="49" t="s">
        <v>36</v>
      </c>
      <c r="Q19" s="4">
        <f t="shared" si="0"/>
        <v>4807760.5332013378</v>
      </c>
      <c r="T19" s="4"/>
      <c r="U19" s="4"/>
    </row>
    <row r="20" spans="3:21" x14ac:dyDescent="0.55000000000000004">
      <c r="C20" s="114">
        <v>5</v>
      </c>
      <c r="D20" s="115">
        <v>58338255000</v>
      </c>
      <c r="E20" s="116">
        <f>D20-D17</f>
        <v>11348596035</v>
      </c>
      <c r="F20" s="116">
        <f t="shared" si="2"/>
        <v>9192362788.3499985</v>
      </c>
      <c r="G20" s="117">
        <v>45525</v>
      </c>
      <c r="H20" s="115" t="e">
        <f>#REF!-#REF!</f>
        <v>#REF!</v>
      </c>
      <c r="I20" s="118">
        <v>10</v>
      </c>
      <c r="J20" s="119">
        <f t="shared" si="1"/>
        <v>45535</v>
      </c>
      <c r="K20" s="116"/>
      <c r="L20" s="4">
        <f>K19-L19</f>
        <v>8742254391.3500023</v>
      </c>
      <c r="M20" s="4">
        <f>L20*E20/F20</f>
        <v>10792906655.987659</v>
      </c>
      <c r="N20" s="10">
        <v>45542</v>
      </c>
      <c r="O20" s="49">
        <f>N20-J20</f>
        <v>7</v>
      </c>
      <c r="P20" s="49" t="s">
        <v>36</v>
      </c>
      <c r="Q20" s="4">
        <f t="shared" si="0"/>
        <v>111152153.75303456</v>
      </c>
      <c r="T20" s="4">
        <f>E20*0.14</f>
        <v>1588803444.9000001</v>
      </c>
      <c r="U20" s="4">
        <f>U17-T20</f>
        <v>38583453719.999992</v>
      </c>
    </row>
    <row r="21" spans="3:21" x14ac:dyDescent="0.55000000000000004">
      <c r="C21" s="114"/>
      <c r="D21" s="115"/>
      <c r="E21" s="116"/>
      <c r="F21" s="116"/>
      <c r="G21" s="117"/>
      <c r="H21" s="115"/>
      <c r="I21" s="118"/>
      <c r="J21" s="119"/>
      <c r="K21" s="116">
        <v>6722994041</v>
      </c>
      <c r="L21" s="4">
        <f>F20-L20</f>
        <v>450108396.99999619</v>
      </c>
      <c r="M21" s="4">
        <f>L21*E20/F20</f>
        <v>555689379.01234114</v>
      </c>
      <c r="N21" s="10">
        <v>45559</v>
      </c>
      <c r="O21" s="49">
        <f>N21-J20</f>
        <v>24</v>
      </c>
      <c r="P21" s="49" t="s">
        <v>36</v>
      </c>
      <c r="Q21" s="4">
        <f t="shared" si="0"/>
        <v>19621163.607427545</v>
      </c>
      <c r="T21" s="4"/>
      <c r="U21" s="4"/>
    </row>
    <row r="22" spans="3:21" x14ac:dyDescent="0.55000000000000004">
      <c r="C22" s="101">
        <v>6</v>
      </c>
      <c r="D22" s="89">
        <v>66935434080</v>
      </c>
      <c r="E22" s="104">
        <f>D22-D20</f>
        <v>8597179080</v>
      </c>
      <c r="F22" s="104">
        <f t="shared" si="2"/>
        <v>6963715054.7999992</v>
      </c>
      <c r="G22" s="106">
        <v>45544</v>
      </c>
      <c r="H22" s="48" t="e">
        <f>#REF!-#REF!</f>
        <v>#REF!</v>
      </c>
      <c r="I22" s="52">
        <v>10</v>
      </c>
      <c r="J22" s="122">
        <f t="shared" si="1"/>
        <v>45554</v>
      </c>
      <c r="K22" s="116"/>
      <c r="L22" s="4">
        <f>K21-L21</f>
        <v>6272885644.0000038</v>
      </c>
      <c r="M22" s="4">
        <f>L22*E22/F22</f>
        <v>7744303264.1975365</v>
      </c>
      <c r="N22" s="10">
        <v>45559</v>
      </c>
      <c r="O22" s="49">
        <f>N22-J22</f>
        <v>5</v>
      </c>
      <c r="P22" s="49" t="s">
        <v>36</v>
      </c>
      <c r="Q22" s="4">
        <f t="shared" si="0"/>
        <v>56968367.847590104</v>
      </c>
      <c r="T22" s="4">
        <f>E22*0.14</f>
        <v>1203605071.2</v>
      </c>
      <c r="U22" s="4">
        <f>U20-T22</f>
        <v>37379848648.799995</v>
      </c>
    </row>
    <row r="23" spans="3:21" x14ac:dyDescent="0.55000000000000004">
      <c r="C23" s="113"/>
      <c r="D23" s="90"/>
      <c r="E23" s="110"/>
      <c r="F23" s="110"/>
      <c r="G23" s="111"/>
      <c r="H23" s="48"/>
      <c r="I23" s="52"/>
      <c r="J23" s="124"/>
      <c r="K23" s="127">
        <v>1111394053</v>
      </c>
      <c r="L23" s="4">
        <f>F22-L22</f>
        <v>690829410.79999542</v>
      </c>
      <c r="M23" s="4">
        <f>L23*E22/F22</f>
        <v>852875815.80246365</v>
      </c>
      <c r="N23" s="10">
        <v>45560</v>
      </c>
      <c r="O23" s="49">
        <f>N23-J22</f>
        <v>6</v>
      </c>
      <c r="P23" s="49" t="s">
        <v>36</v>
      </c>
      <c r="Q23" s="4">
        <f t="shared" si="0"/>
        <v>7528673.6397685986</v>
      </c>
      <c r="T23" s="4"/>
      <c r="U23" s="4"/>
    </row>
    <row r="24" spans="3:21" x14ac:dyDescent="0.55000000000000004">
      <c r="C24" s="114">
        <v>7</v>
      </c>
      <c r="D24" s="115">
        <v>71039106975</v>
      </c>
      <c r="E24" s="116">
        <f>D24-D22</f>
        <v>4103672895</v>
      </c>
      <c r="F24" s="116">
        <f t="shared" si="2"/>
        <v>3323975044.9499998</v>
      </c>
      <c r="G24" s="117">
        <v>45558</v>
      </c>
      <c r="H24" s="115" t="e">
        <f>#REF!-#REF!</f>
        <v>#REF!</v>
      </c>
      <c r="I24" s="118">
        <v>10</v>
      </c>
      <c r="J24" s="119">
        <f t="shared" si="1"/>
        <v>45568</v>
      </c>
      <c r="K24" s="128"/>
      <c r="L24" s="4">
        <f>K23-L23</f>
        <v>420564642.20000458</v>
      </c>
      <c r="M24" s="4">
        <f>L24*E24/F24</f>
        <v>519215607.65432668</v>
      </c>
      <c r="N24" s="10">
        <v>45560</v>
      </c>
      <c r="O24" s="49">
        <v>0</v>
      </c>
      <c r="P24" s="49" t="s">
        <v>36</v>
      </c>
      <c r="Q24" s="4">
        <f t="shared" si="0"/>
        <v>0</v>
      </c>
      <c r="T24" s="4">
        <f>E24*0.14</f>
        <v>574514205.30000007</v>
      </c>
      <c r="U24" s="4">
        <f>U22-T24</f>
        <v>36805334443.499992</v>
      </c>
    </row>
    <row r="25" spans="3:21" x14ac:dyDescent="0.55000000000000004">
      <c r="C25" s="114"/>
      <c r="D25" s="115"/>
      <c r="E25" s="116"/>
      <c r="F25" s="116"/>
      <c r="G25" s="117"/>
      <c r="H25" s="115"/>
      <c r="I25" s="118"/>
      <c r="J25" s="119"/>
      <c r="K25" s="104">
        <v>3209072205</v>
      </c>
      <c r="L25" s="4">
        <f>F24-L24</f>
        <v>2903410402.7499952</v>
      </c>
      <c r="M25" s="4">
        <f>L25*E24/F24</f>
        <v>3584457287.3456736</v>
      </c>
      <c r="N25" s="10">
        <v>45564</v>
      </c>
      <c r="O25" s="49">
        <v>0</v>
      </c>
      <c r="P25" s="49" t="s">
        <v>36</v>
      </c>
      <c r="Q25" s="4">
        <f t="shared" si="0"/>
        <v>0</v>
      </c>
      <c r="T25" s="4"/>
      <c r="U25" s="4"/>
    </row>
    <row r="26" spans="3:21" x14ac:dyDescent="0.55000000000000004">
      <c r="C26" s="114">
        <v>8</v>
      </c>
      <c r="D26" s="115">
        <v>83208599730</v>
      </c>
      <c r="E26" s="116">
        <f>D26-D24</f>
        <v>12169492755</v>
      </c>
      <c r="F26" s="116">
        <f>E26*(1-0.1-0.05-0.228+0.1)</f>
        <v>8786373769.1100006</v>
      </c>
      <c r="G26" s="117">
        <v>45586</v>
      </c>
      <c r="H26" s="115" t="e">
        <f>#REF!-#REF!</f>
        <v>#REF!</v>
      </c>
      <c r="I26" s="118">
        <v>10</v>
      </c>
      <c r="J26" s="119">
        <f t="shared" si="1"/>
        <v>45596</v>
      </c>
      <c r="K26" s="105"/>
      <c r="L26" s="4">
        <f>K25-L25</f>
        <v>305661802.25000477</v>
      </c>
      <c r="M26" s="4">
        <f>L26*E26/F26</f>
        <v>423354296.74515891</v>
      </c>
      <c r="N26" s="10">
        <v>45564</v>
      </c>
      <c r="O26" s="49">
        <v>0</v>
      </c>
      <c r="P26" s="49" t="s">
        <v>36</v>
      </c>
      <c r="Q26" s="4">
        <f t="shared" si="0"/>
        <v>0</v>
      </c>
      <c r="T26" s="4">
        <f>E26*0.228</f>
        <v>2774644348.1399999</v>
      </c>
      <c r="U26" s="4">
        <f>U24-T26</f>
        <v>34030690095.359993</v>
      </c>
    </row>
    <row r="27" spans="3:21" x14ac:dyDescent="0.55000000000000004">
      <c r="C27" s="114"/>
      <c r="D27" s="115"/>
      <c r="E27" s="116"/>
      <c r="F27" s="116"/>
      <c r="G27" s="117"/>
      <c r="H27" s="115"/>
      <c r="I27" s="118"/>
      <c r="J27" s="119"/>
      <c r="K27" s="53">
        <v>298651704</v>
      </c>
      <c r="L27" s="4">
        <f>K27</f>
        <v>298651704</v>
      </c>
      <c r="M27" s="4">
        <f>L27*E26/F26</f>
        <v>413645019.39058167</v>
      </c>
      <c r="N27" s="10">
        <v>45573</v>
      </c>
      <c r="O27" s="49">
        <v>0</v>
      </c>
      <c r="P27" s="49" t="s">
        <v>36</v>
      </c>
      <c r="Q27" s="4">
        <f t="shared" si="0"/>
        <v>0</v>
      </c>
      <c r="T27" s="4"/>
      <c r="U27" s="4"/>
    </row>
    <row r="28" spans="3:21" x14ac:dyDescent="0.55000000000000004">
      <c r="C28" s="114"/>
      <c r="D28" s="115"/>
      <c r="E28" s="116"/>
      <c r="F28" s="116"/>
      <c r="G28" s="117"/>
      <c r="H28" s="115"/>
      <c r="I28" s="118"/>
      <c r="J28" s="119"/>
      <c r="K28" s="125">
        <v>8421288988</v>
      </c>
      <c r="L28" s="4">
        <f>F26-L26-L27</f>
        <v>8182060262.8599958</v>
      </c>
      <c r="M28" s="4">
        <f>L28*E26/F26</f>
        <v>11332493438.864258</v>
      </c>
      <c r="N28" s="10">
        <v>45594</v>
      </c>
      <c r="O28" s="49">
        <v>0</v>
      </c>
      <c r="P28" s="49" t="s">
        <v>36</v>
      </c>
      <c r="Q28" s="4">
        <f t="shared" si="0"/>
        <v>0</v>
      </c>
      <c r="T28" s="4"/>
      <c r="U28" s="4"/>
    </row>
    <row r="29" spans="3:21" x14ac:dyDescent="0.55000000000000004">
      <c r="C29" s="101">
        <v>9</v>
      </c>
      <c r="D29" s="89">
        <v>106035300664</v>
      </c>
      <c r="E29" s="104">
        <f>D29-D26</f>
        <v>22826700934</v>
      </c>
      <c r="F29" s="104">
        <f t="shared" ref="F29:F47" si="3">E29*(1-0.1-0.05-0.228+0.1)</f>
        <v>16480878074.348</v>
      </c>
      <c r="G29" s="106">
        <v>45628</v>
      </c>
      <c r="H29" s="115" t="e">
        <f>#REF!-#REF!</f>
        <v>#REF!</v>
      </c>
      <c r="I29" s="108">
        <v>10</v>
      </c>
      <c r="J29" s="122">
        <f t="shared" si="1"/>
        <v>45638</v>
      </c>
      <c r="K29" s="129"/>
      <c r="L29" s="4">
        <f>K28-L28</f>
        <v>239228725.14000416</v>
      </c>
      <c r="M29" s="4">
        <f>L29*E29/F29</f>
        <v>331341724.57064289</v>
      </c>
      <c r="N29" s="10">
        <v>45594</v>
      </c>
      <c r="O29" s="49">
        <v>0</v>
      </c>
      <c r="P29" s="49" t="s">
        <v>36</v>
      </c>
      <c r="Q29" s="4">
        <f t="shared" si="0"/>
        <v>0</v>
      </c>
      <c r="T29" s="4">
        <f>E29*0.228</f>
        <v>5204487812.9520006</v>
      </c>
      <c r="U29" s="4">
        <f>U26-T29</f>
        <v>28826202282.407993</v>
      </c>
    </row>
    <row r="30" spans="3:21" x14ac:dyDescent="0.55000000000000004">
      <c r="C30" s="102"/>
      <c r="D30" s="103"/>
      <c r="E30" s="105"/>
      <c r="F30" s="105"/>
      <c r="G30" s="107"/>
      <c r="H30" s="115"/>
      <c r="I30" s="109"/>
      <c r="J30" s="123"/>
      <c r="K30" s="53">
        <v>298651704</v>
      </c>
      <c r="L30" s="4">
        <f>K30</f>
        <v>298651704</v>
      </c>
      <c r="M30" s="4">
        <f>L30*E29/F29</f>
        <v>413645019.39058173</v>
      </c>
      <c r="N30" s="10">
        <v>45603</v>
      </c>
      <c r="O30" s="49">
        <v>0</v>
      </c>
      <c r="P30" s="49" t="s">
        <v>36</v>
      </c>
      <c r="Q30" s="4">
        <f t="shared" si="0"/>
        <v>0</v>
      </c>
      <c r="T30" s="4"/>
      <c r="U30" s="4"/>
    </row>
    <row r="31" spans="3:21" x14ac:dyDescent="0.55000000000000004">
      <c r="C31" s="102"/>
      <c r="D31" s="103"/>
      <c r="E31" s="105"/>
      <c r="F31" s="105"/>
      <c r="G31" s="107"/>
      <c r="H31" s="115"/>
      <c r="I31" s="109"/>
      <c r="J31" s="123"/>
      <c r="K31" s="53">
        <v>246441073</v>
      </c>
      <c r="L31" s="4">
        <f>K31</f>
        <v>246441073</v>
      </c>
      <c r="M31" s="4">
        <f>L31*E29/F29</f>
        <v>341331126.03878117</v>
      </c>
      <c r="N31" s="10">
        <v>45624</v>
      </c>
      <c r="O31" s="49">
        <v>0</v>
      </c>
      <c r="P31" s="49" t="s">
        <v>36</v>
      </c>
      <c r="Q31" s="4">
        <f t="shared" si="0"/>
        <v>0</v>
      </c>
      <c r="T31" s="4"/>
      <c r="U31" s="4"/>
    </row>
    <row r="32" spans="3:21" x14ac:dyDescent="0.55000000000000004">
      <c r="C32" s="113"/>
      <c r="D32" s="90"/>
      <c r="E32" s="110"/>
      <c r="F32" s="110"/>
      <c r="G32" s="111"/>
      <c r="H32" s="4"/>
      <c r="I32" s="112"/>
      <c r="J32" s="124"/>
      <c r="K32" s="125">
        <v>15796077046</v>
      </c>
      <c r="L32" s="4">
        <f>F29-L29-L30-L31</f>
        <v>15696556572.207996</v>
      </c>
      <c r="M32" s="4">
        <f>L32*E29/F29</f>
        <v>21740383063.999996</v>
      </c>
      <c r="N32" s="10">
        <v>45636</v>
      </c>
      <c r="O32" s="49">
        <v>0</v>
      </c>
      <c r="P32" s="49" t="s">
        <v>36</v>
      </c>
      <c r="Q32" s="4">
        <f t="shared" si="0"/>
        <v>0</v>
      </c>
      <c r="T32" s="4"/>
      <c r="U32" s="4"/>
    </row>
    <row r="33" spans="3:21" x14ac:dyDescent="0.55000000000000004">
      <c r="C33" s="114">
        <v>10</v>
      </c>
      <c r="D33" s="115">
        <v>118476292173</v>
      </c>
      <c r="E33" s="116">
        <f>D33-D29</f>
        <v>12440991509</v>
      </c>
      <c r="F33" s="116">
        <f t="shared" si="3"/>
        <v>8982395869.4979992</v>
      </c>
      <c r="G33" s="117">
        <v>45656</v>
      </c>
      <c r="H33" s="115" t="e">
        <f>#REF!-#REF!</f>
        <v>#REF!</v>
      </c>
      <c r="I33" s="118">
        <v>10</v>
      </c>
      <c r="J33" s="119">
        <f t="shared" si="1"/>
        <v>45666</v>
      </c>
      <c r="K33" s="126"/>
      <c r="L33" s="4">
        <f>K32-L32</f>
        <v>99520473.792003632</v>
      </c>
      <c r="M33" s="4">
        <f>L33*E33/F33</f>
        <v>137839991.40166709</v>
      </c>
      <c r="N33" s="10">
        <v>45636</v>
      </c>
      <c r="O33" s="49">
        <v>0</v>
      </c>
      <c r="P33" s="49" t="s">
        <v>36</v>
      </c>
      <c r="Q33" s="4">
        <f t="shared" si="0"/>
        <v>0</v>
      </c>
      <c r="T33" s="4">
        <f>E33*0.228</f>
        <v>2836546064.052</v>
      </c>
      <c r="U33" s="4">
        <f>U29-T33</f>
        <v>25989656218.355995</v>
      </c>
    </row>
    <row r="34" spans="3:21" x14ac:dyDescent="0.55000000000000004">
      <c r="C34" s="114"/>
      <c r="D34" s="115"/>
      <c r="E34" s="116"/>
      <c r="F34" s="116"/>
      <c r="G34" s="117"/>
      <c r="H34" s="115"/>
      <c r="I34" s="118"/>
      <c r="J34" s="119"/>
      <c r="K34" s="53">
        <v>339159916</v>
      </c>
      <c r="L34" s="4">
        <f>K34</f>
        <v>339159916</v>
      </c>
      <c r="M34" s="4">
        <f>L34*E33/F33</f>
        <v>469750576.17728537</v>
      </c>
      <c r="N34" s="10">
        <v>45657</v>
      </c>
      <c r="O34" s="49">
        <v>0</v>
      </c>
      <c r="P34" s="49" t="s">
        <v>36</v>
      </c>
      <c r="Q34" s="4">
        <f t="shared" si="0"/>
        <v>0</v>
      </c>
      <c r="T34" s="4"/>
      <c r="U34" s="4"/>
    </row>
    <row r="35" spans="3:21" x14ac:dyDescent="0.55000000000000004">
      <c r="C35" s="114"/>
      <c r="D35" s="115"/>
      <c r="E35" s="116"/>
      <c r="F35" s="116"/>
      <c r="G35" s="117"/>
      <c r="H35" s="115"/>
      <c r="I35" s="118"/>
      <c r="J35" s="119"/>
      <c r="K35" s="104">
        <v>8609166124</v>
      </c>
      <c r="L35" s="4">
        <f>F33-L34-L33</f>
        <v>8543715479.7059956</v>
      </c>
      <c r="M35" s="4">
        <f>L35*E33/F33</f>
        <v>11833400941.421047</v>
      </c>
      <c r="N35" s="10">
        <v>45677</v>
      </c>
      <c r="O35" s="49">
        <f>N35-J33</f>
        <v>11</v>
      </c>
      <c r="P35" s="49" t="s">
        <v>36</v>
      </c>
      <c r="Q35" s="4">
        <f t="shared" si="0"/>
        <v>191506573.59170994</v>
      </c>
      <c r="T35" s="4"/>
      <c r="U35" s="4"/>
    </row>
    <row r="36" spans="3:21" x14ac:dyDescent="0.55000000000000004">
      <c r="C36" s="114">
        <v>11</v>
      </c>
      <c r="D36" s="115">
        <v>124765563339</v>
      </c>
      <c r="E36" s="116">
        <v>5595579366</v>
      </c>
      <c r="F36" s="116">
        <f t="shared" si="3"/>
        <v>4040008302.2519999</v>
      </c>
      <c r="G36" s="117">
        <v>45675</v>
      </c>
      <c r="H36" s="115" t="e">
        <f>#REF!-#REF!</f>
        <v>#REF!</v>
      </c>
      <c r="I36" s="118">
        <v>10</v>
      </c>
      <c r="J36" s="119">
        <f t="shared" si="1"/>
        <v>45685</v>
      </c>
      <c r="K36" s="105"/>
      <c r="L36" s="4">
        <f>K35-L35</f>
        <v>65450644.29400444</v>
      </c>
      <c r="M36" s="4">
        <f>L36*E36/F36</f>
        <v>90651861.903053254</v>
      </c>
      <c r="N36" s="10">
        <v>45677</v>
      </c>
      <c r="O36" s="49">
        <v>0</v>
      </c>
      <c r="P36" s="49" t="s">
        <v>36</v>
      </c>
      <c r="Q36" s="4">
        <f t="shared" si="0"/>
        <v>0</v>
      </c>
      <c r="T36" s="4">
        <f>E36*0.228</f>
        <v>1275792095.448</v>
      </c>
      <c r="U36" s="4">
        <f>U33-T36</f>
        <v>24713864122.907997</v>
      </c>
    </row>
    <row r="37" spans="3:21" x14ac:dyDescent="0.55000000000000004">
      <c r="C37" s="114"/>
      <c r="D37" s="115"/>
      <c r="E37" s="116"/>
      <c r="F37" s="116"/>
      <c r="G37" s="117"/>
      <c r="H37" s="115"/>
      <c r="I37" s="118"/>
      <c r="J37" s="119"/>
      <c r="K37" s="53">
        <v>398362770</v>
      </c>
      <c r="L37" s="4">
        <f>K37</f>
        <v>398362770</v>
      </c>
      <c r="M37" s="4">
        <f>L37*E36/F36</f>
        <v>551748988.9196676</v>
      </c>
      <c r="N37" s="10">
        <v>45686</v>
      </c>
      <c r="O37" s="49">
        <f>N37-J36</f>
        <v>1</v>
      </c>
      <c r="P37" s="49" t="s">
        <v>36</v>
      </c>
      <c r="Q37" s="4">
        <f t="shared" si="0"/>
        <v>811751.25219140132</v>
      </c>
      <c r="T37" s="4"/>
      <c r="U37" s="4"/>
    </row>
    <row r="38" spans="3:21" x14ac:dyDescent="0.55000000000000004">
      <c r="C38" s="114"/>
      <c r="D38" s="115"/>
      <c r="E38" s="116"/>
      <c r="F38" s="116"/>
      <c r="G38" s="117"/>
      <c r="H38" s="115"/>
      <c r="I38" s="118"/>
      <c r="J38" s="119"/>
      <c r="K38" s="125">
        <v>3872140920</v>
      </c>
      <c r="L38" s="4">
        <f>F36-L36-L37</f>
        <v>3576194887.9579954</v>
      </c>
      <c r="M38" s="4">
        <f>L38*E36/F36</f>
        <v>4953178515.1772785</v>
      </c>
      <c r="N38" s="10">
        <v>45689</v>
      </c>
      <c r="O38" s="49">
        <f>N38-J36</f>
        <v>4</v>
      </c>
      <c r="P38" s="49" t="s">
        <v>36</v>
      </c>
      <c r="Q38" s="4">
        <f t="shared" si="0"/>
        <v>29149116.303015877</v>
      </c>
      <c r="T38" s="4"/>
      <c r="U38" s="4"/>
    </row>
    <row r="39" spans="3:21" x14ac:dyDescent="0.55000000000000004">
      <c r="C39" s="114">
        <v>12</v>
      </c>
      <c r="D39" s="115">
        <v>135166948539</v>
      </c>
      <c r="E39" s="116">
        <v>11095077000</v>
      </c>
      <c r="F39" s="116">
        <f t="shared" si="3"/>
        <v>8010645594</v>
      </c>
      <c r="G39" s="117">
        <v>45724</v>
      </c>
      <c r="H39" s="115" t="e">
        <f>#REF!-#REF!</f>
        <v>#REF!</v>
      </c>
      <c r="I39" s="118">
        <v>10</v>
      </c>
      <c r="J39" s="119">
        <f t="shared" si="1"/>
        <v>45734</v>
      </c>
      <c r="K39" s="126"/>
      <c r="L39" s="4">
        <f>K38-L38</f>
        <v>295946032.04200459</v>
      </c>
      <c r="M39" s="4">
        <f>L39*E39/F39</f>
        <v>409897551.30471545</v>
      </c>
      <c r="N39" s="10">
        <v>45689</v>
      </c>
      <c r="O39" s="49">
        <v>0</v>
      </c>
      <c r="P39" s="49" t="s">
        <v>36</v>
      </c>
      <c r="Q39" s="4">
        <f t="shared" si="0"/>
        <v>0</v>
      </c>
      <c r="T39" s="4">
        <f>E39*0.228</f>
        <v>2529677556</v>
      </c>
      <c r="U39" s="4">
        <f>U36-T39</f>
        <v>22184186566.907997</v>
      </c>
    </row>
    <row r="40" spans="3:21" x14ac:dyDescent="0.55000000000000004">
      <c r="C40" s="114"/>
      <c r="D40" s="115"/>
      <c r="E40" s="116"/>
      <c r="F40" s="116"/>
      <c r="G40" s="117"/>
      <c r="H40" s="115"/>
      <c r="I40" s="118"/>
      <c r="J40" s="119"/>
      <c r="K40" s="53">
        <v>258907257</v>
      </c>
      <c r="L40" s="4">
        <f>K40</f>
        <v>258907257</v>
      </c>
      <c r="M40" s="4">
        <f>L40*E39/F39</f>
        <v>358597308.86426592</v>
      </c>
      <c r="N40" s="10">
        <v>45714</v>
      </c>
      <c r="O40" s="49">
        <v>0</v>
      </c>
      <c r="P40" s="49" t="s">
        <v>36</v>
      </c>
      <c r="Q40" s="4">
        <f t="shared" si="0"/>
        <v>0</v>
      </c>
      <c r="T40" s="4"/>
      <c r="U40" s="4"/>
    </row>
    <row r="41" spans="3:21" x14ac:dyDescent="0.55000000000000004">
      <c r="C41" s="114"/>
      <c r="D41" s="115"/>
      <c r="E41" s="116"/>
      <c r="F41" s="116"/>
      <c r="G41" s="117"/>
      <c r="H41" s="115"/>
      <c r="I41" s="118"/>
      <c r="J41" s="119"/>
      <c r="K41" s="125">
        <v>7677793284</v>
      </c>
      <c r="L41" s="4">
        <f>F39-L39-L40</f>
        <v>7455792304.9579954</v>
      </c>
      <c r="M41" s="4">
        <f>L41*E39/F39</f>
        <v>10326582139.831018</v>
      </c>
      <c r="N41" s="10">
        <v>45731</v>
      </c>
      <c r="O41" s="49">
        <v>0</v>
      </c>
      <c r="P41" s="49" t="s">
        <v>36</v>
      </c>
      <c r="Q41" s="4">
        <f t="shared" si="0"/>
        <v>0</v>
      </c>
      <c r="T41" s="4"/>
      <c r="U41" s="4"/>
    </row>
    <row r="42" spans="3:21" x14ac:dyDescent="0.55000000000000004">
      <c r="C42" s="101">
        <v>13</v>
      </c>
      <c r="D42" s="89">
        <v>189226981252</v>
      </c>
      <c r="E42" s="104">
        <f>D42-D39</f>
        <v>54060032713</v>
      </c>
      <c r="F42" s="104">
        <f t="shared" si="3"/>
        <v>39031343618.785995</v>
      </c>
      <c r="G42" s="106">
        <v>45756</v>
      </c>
      <c r="H42" s="115" t="e">
        <f>#REF!-#REF!</f>
        <v>#REF!</v>
      </c>
      <c r="I42" s="108">
        <v>10</v>
      </c>
      <c r="J42" s="122">
        <f t="shared" si="1"/>
        <v>45766</v>
      </c>
      <c r="K42" s="126"/>
      <c r="L42" s="4">
        <f>K41-L41</f>
        <v>222000979.04200459</v>
      </c>
      <c r="M42" s="4">
        <f>L42*E42/F42</f>
        <v>307480580.3905881</v>
      </c>
      <c r="N42" s="10">
        <v>45731</v>
      </c>
      <c r="O42" s="49">
        <v>0</v>
      </c>
      <c r="P42" s="49" t="s">
        <v>36</v>
      </c>
      <c r="Q42" s="4">
        <f t="shared" si="0"/>
        <v>0</v>
      </c>
      <c r="T42" s="4">
        <f>E42*0.228</f>
        <v>12325687458.564001</v>
      </c>
      <c r="U42" s="4">
        <f>U39-T42</f>
        <v>9858499108.343996</v>
      </c>
    </row>
    <row r="43" spans="3:21" x14ac:dyDescent="0.55000000000000004">
      <c r="C43" s="102"/>
      <c r="D43" s="103"/>
      <c r="E43" s="105"/>
      <c r="F43" s="105"/>
      <c r="G43" s="107"/>
      <c r="H43" s="115"/>
      <c r="I43" s="109"/>
      <c r="J43" s="123"/>
      <c r="K43" s="64">
        <v>37409542637</v>
      </c>
      <c r="L43" s="4">
        <f>K43</f>
        <v>37409542637</v>
      </c>
      <c r="M43" s="4">
        <f>L43*E42/F42</f>
        <v>51813770965.37397</v>
      </c>
      <c r="N43" s="10">
        <v>45770</v>
      </c>
      <c r="O43" s="49">
        <f>N43-J42</f>
        <v>4</v>
      </c>
      <c r="P43" s="49" t="s">
        <v>36</v>
      </c>
      <c r="Q43" s="4">
        <f t="shared" si="0"/>
        <v>304920493.24280357</v>
      </c>
      <c r="T43" s="4"/>
      <c r="U43" s="4"/>
    </row>
    <row r="44" spans="3:21" x14ac:dyDescent="0.55000000000000004">
      <c r="C44" s="102"/>
      <c r="D44" s="103"/>
      <c r="E44" s="105"/>
      <c r="F44" s="105"/>
      <c r="G44" s="107"/>
      <c r="H44" s="115"/>
      <c r="I44" s="109"/>
      <c r="J44" s="123"/>
      <c r="K44" s="53">
        <v>515737897</v>
      </c>
      <c r="L44" s="4">
        <f>K44</f>
        <v>515737897</v>
      </c>
      <c r="M44" s="4">
        <f>L44*E42/F42</f>
        <v>714318416.89750695</v>
      </c>
      <c r="N44" s="10">
        <v>45775</v>
      </c>
      <c r="O44" s="49">
        <f>N44-J42</f>
        <v>9</v>
      </c>
      <c r="P44" s="49" t="s">
        <v>36</v>
      </c>
      <c r="Q44" s="4">
        <f t="shared" si="0"/>
        <v>9458358.6544264406</v>
      </c>
      <c r="T44" s="4"/>
      <c r="U44" s="4"/>
    </row>
    <row r="45" spans="3:21" x14ac:dyDescent="0.55000000000000004">
      <c r="C45" s="102"/>
      <c r="D45" s="103"/>
      <c r="E45" s="105"/>
      <c r="F45" s="105"/>
      <c r="G45" s="107"/>
      <c r="H45" s="4"/>
      <c r="I45" s="109"/>
      <c r="J45" s="123"/>
      <c r="K45" s="53">
        <v>482281816</v>
      </c>
      <c r="L45" s="4">
        <f>K45</f>
        <v>482281816</v>
      </c>
      <c r="M45" s="4">
        <f>L45*E42/F42</f>
        <v>667980354.57063711</v>
      </c>
      <c r="N45" s="10">
        <v>45810</v>
      </c>
      <c r="O45" s="49">
        <f>N45-J42</f>
        <v>44</v>
      </c>
      <c r="P45" s="49" t="s">
        <v>36</v>
      </c>
      <c r="Q45" s="4">
        <f t="shared" si="0"/>
        <v>43241204.980260313</v>
      </c>
      <c r="T45" s="4"/>
      <c r="U45" s="4"/>
    </row>
    <row r="46" spans="3:21" x14ac:dyDescent="0.55000000000000004">
      <c r="C46" s="113"/>
      <c r="D46" s="90"/>
      <c r="E46" s="110"/>
      <c r="F46" s="110"/>
      <c r="G46" s="111"/>
      <c r="H46" s="4"/>
      <c r="I46" s="112"/>
      <c r="J46" s="124"/>
      <c r="K46" s="104">
        <v>8722522834</v>
      </c>
      <c r="L46" s="4">
        <f>F42-L42-L43-L44-L45</f>
        <v>401780289.74398804</v>
      </c>
      <c r="M46" s="4">
        <f>L46*E42/F42</f>
        <v>556482395.76729643</v>
      </c>
      <c r="N46" s="10">
        <v>45826</v>
      </c>
      <c r="O46" s="49">
        <f>N46-J42</f>
        <v>60</v>
      </c>
      <c r="P46" s="49" t="s">
        <v>36</v>
      </c>
      <c r="Q46" s="4">
        <f t="shared" si="0"/>
        <v>49122911.757869296</v>
      </c>
      <c r="T46" s="4"/>
      <c r="U46" s="4"/>
    </row>
    <row r="47" spans="3:21" x14ac:dyDescent="0.55000000000000004">
      <c r="C47" s="50">
        <v>14</v>
      </c>
      <c r="D47" s="4">
        <v>194392330253</v>
      </c>
      <c r="E47" s="17">
        <f>D47-D42</f>
        <v>5165349001</v>
      </c>
      <c r="F47" s="17">
        <f t="shared" si="3"/>
        <v>3729381978.7219996</v>
      </c>
      <c r="G47" s="51">
        <v>45816</v>
      </c>
      <c r="H47" s="4" t="e">
        <f>#REF!-#REF!</f>
        <v>#REF!</v>
      </c>
      <c r="I47" s="52">
        <v>10</v>
      </c>
      <c r="J47" s="10">
        <f t="shared" si="1"/>
        <v>45826</v>
      </c>
      <c r="K47" s="105"/>
      <c r="L47" s="4">
        <f>F47</f>
        <v>3729381978.7219996</v>
      </c>
      <c r="M47" s="4">
        <f>L47*E47/F47</f>
        <v>5165349001</v>
      </c>
      <c r="N47" s="10">
        <v>45826</v>
      </c>
      <c r="O47" s="49">
        <f>N47-J47</f>
        <v>0</v>
      </c>
      <c r="P47" s="49" t="s">
        <v>36</v>
      </c>
      <c r="Q47" s="4">
        <f t="shared" si="0"/>
        <v>0</v>
      </c>
      <c r="T47" s="4">
        <f>E47*0.228</f>
        <v>1177699572.2279999</v>
      </c>
      <c r="U47" s="4">
        <f>U42-T47</f>
        <v>8680799536.1159954</v>
      </c>
    </row>
    <row r="48" spans="3:21" x14ac:dyDescent="0.55000000000000004">
      <c r="C48" s="101">
        <v>15</v>
      </c>
      <c r="D48" s="89">
        <v>242210187573</v>
      </c>
      <c r="E48" s="104">
        <f>D48-D47</f>
        <v>47817857320</v>
      </c>
      <c r="F48" s="104">
        <f>E48*(1-0.1-0.05+0.1)-U47</f>
        <v>36746164917.884003</v>
      </c>
      <c r="G48" s="106">
        <v>45873</v>
      </c>
      <c r="H48" s="115" t="e">
        <f>#REF!-#REF!</f>
        <v>#REF!</v>
      </c>
      <c r="I48" s="108">
        <v>10</v>
      </c>
      <c r="J48" s="122">
        <f t="shared" si="1"/>
        <v>45883</v>
      </c>
      <c r="K48" s="110"/>
      <c r="L48" s="4">
        <f>K46-L46-L47</f>
        <v>4591360565.5340118</v>
      </c>
      <c r="M48" s="4">
        <f>L48*E48/F48</f>
        <v>5974746614.1841516</v>
      </c>
      <c r="N48" s="10">
        <v>45826</v>
      </c>
      <c r="O48" s="49">
        <v>0</v>
      </c>
      <c r="P48" s="49" t="s">
        <v>36</v>
      </c>
      <c r="Q48" s="4">
        <f t="shared" si="0"/>
        <v>0</v>
      </c>
      <c r="T48" s="4">
        <f>E48*0.228</f>
        <v>10902471468.960001</v>
      </c>
      <c r="U48" s="4">
        <f>U47-T48</f>
        <v>-2221671932.8440056</v>
      </c>
    </row>
    <row r="49" spans="3:21" x14ac:dyDescent="0.55000000000000004">
      <c r="C49" s="102"/>
      <c r="D49" s="103"/>
      <c r="E49" s="105"/>
      <c r="F49" s="105"/>
      <c r="G49" s="107"/>
      <c r="H49" s="115"/>
      <c r="I49" s="109"/>
      <c r="J49" s="123"/>
      <c r="K49" s="126">
        <v>33089957266</v>
      </c>
      <c r="L49" s="4">
        <f>F48-L48</f>
        <v>32154804352.349991</v>
      </c>
      <c r="M49" s="4">
        <f>L49*E48/F48</f>
        <v>41843110705.815849</v>
      </c>
      <c r="N49" s="10">
        <v>45895</v>
      </c>
      <c r="O49" s="49">
        <f>N49-J48</f>
        <v>12</v>
      </c>
      <c r="P49" s="49" t="s">
        <v>36</v>
      </c>
      <c r="Q49" s="4">
        <f t="shared" si="0"/>
        <v>738731521.61171877</v>
      </c>
      <c r="T49" s="4"/>
      <c r="U49" s="4"/>
    </row>
    <row r="50" spans="3:21" x14ac:dyDescent="0.55000000000000004">
      <c r="C50" s="101">
        <v>16</v>
      </c>
      <c r="D50" s="89">
        <v>253057914858</v>
      </c>
      <c r="E50" s="104">
        <f>D50-D48</f>
        <v>10847727285</v>
      </c>
      <c r="F50" s="104">
        <f>E50*(1-0.1-0.05+0.1)</f>
        <v>10305340920.75</v>
      </c>
      <c r="G50" s="106">
        <v>45920</v>
      </c>
      <c r="H50" s="4" t="e">
        <f>#REF!-#REF!</f>
        <v>#REF!</v>
      </c>
      <c r="I50" s="108">
        <v>10</v>
      </c>
      <c r="J50" s="122">
        <f t="shared" si="1"/>
        <v>45930</v>
      </c>
      <c r="K50" s="126"/>
      <c r="L50" s="4">
        <f>K49-L49</f>
        <v>935152913.65000916</v>
      </c>
      <c r="M50" s="4">
        <f>L50*E50/F50</f>
        <v>984371488.05264115</v>
      </c>
      <c r="N50" s="10">
        <v>45895</v>
      </c>
      <c r="O50" s="49">
        <v>0</v>
      </c>
      <c r="P50" s="49" t="s">
        <v>36</v>
      </c>
      <c r="Q50" s="4">
        <f t="shared" si="0"/>
        <v>0</v>
      </c>
      <c r="T50" s="28"/>
      <c r="U50" s="28"/>
    </row>
    <row r="51" spans="3:21" x14ac:dyDescent="0.55000000000000004">
      <c r="C51" s="102"/>
      <c r="D51" s="103"/>
      <c r="E51" s="105"/>
      <c r="F51" s="105"/>
      <c r="G51" s="107"/>
      <c r="H51" s="4"/>
      <c r="I51" s="109"/>
      <c r="J51" s="123"/>
      <c r="K51" s="53">
        <v>816481689</v>
      </c>
      <c r="L51" s="29">
        <f>K51</f>
        <v>816481689</v>
      </c>
      <c r="M51" s="4">
        <f>L51*E50/F50</f>
        <v>859454409.47368419</v>
      </c>
      <c r="N51" s="10">
        <v>45907</v>
      </c>
      <c r="O51" s="49">
        <v>0</v>
      </c>
      <c r="P51" s="49" t="s">
        <v>36</v>
      </c>
      <c r="Q51" s="4">
        <f t="shared" si="0"/>
        <v>0</v>
      </c>
      <c r="T51" s="28"/>
      <c r="U51" s="28"/>
    </row>
    <row r="52" spans="3:21" x14ac:dyDescent="0.55000000000000004">
      <c r="C52" s="113"/>
      <c r="D52" s="90"/>
      <c r="E52" s="110"/>
      <c r="F52" s="110"/>
      <c r="G52" s="111"/>
      <c r="H52" s="4"/>
      <c r="I52" s="112"/>
      <c r="J52" s="124"/>
      <c r="K52" s="125">
        <v>19150409349</v>
      </c>
      <c r="L52" s="29">
        <f>F50-L50-L51</f>
        <v>8553706318.0999908</v>
      </c>
      <c r="M52" s="29">
        <f>L52*E50/F50</f>
        <v>9003901387.4736748</v>
      </c>
      <c r="N52" s="10">
        <v>45938</v>
      </c>
      <c r="O52" s="49">
        <f>N52-J50</f>
        <v>8</v>
      </c>
      <c r="P52" s="49" t="s">
        <v>36</v>
      </c>
      <c r="Q52" s="4">
        <f t="shared" si="0"/>
        <v>105974685.91941619</v>
      </c>
      <c r="T52" s="28"/>
      <c r="U52" s="28"/>
    </row>
    <row r="53" spans="3:21" x14ac:dyDescent="0.55000000000000004">
      <c r="C53" s="114">
        <v>17</v>
      </c>
      <c r="D53" s="115">
        <v>278379977688</v>
      </c>
      <c r="E53" s="116">
        <v>25361439929</v>
      </c>
      <c r="F53" s="116">
        <f>E53*(1-0.1-0.05+0.1)</f>
        <v>24093367932.549999</v>
      </c>
      <c r="G53" s="117">
        <v>45972</v>
      </c>
      <c r="H53" s="115" t="e">
        <f>#REF!-#REF!</f>
        <v>#REF!</v>
      </c>
      <c r="I53" s="118">
        <v>10</v>
      </c>
      <c r="J53" s="119">
        <f t="shared" si="1"/>
        <v>45982</v>
      </c>
      <c r="K53" s="126"/>
      <c r="L53" s="29">
        <f>K52-L52</f>
        <v>10596703030.900009</v>
      </c>
      <c r="M53" s="29">
        <f>L53*E53/F53</f>
        <v>11154424243.052641</v>
      </c>
      <c r="N53" s="10">
        <v>45938</v>
      </c>
      <c r="O53" s="49">
        <v>0</v>
      </c>
      <c r="P53" s="49" t="s">
        <v>36</v>
      </c>
      <c r="Q53" s="4">
        <f t="shared" si="0"/>
        <v>0</v>
      </c>
      <c r="T53" s="28"/>
      <c r="U53" s="28"/>
    </row>
    <row r="54" spans="3:21" x14ac:dyDescent="0.55000000000000004">
      <c r="C54" s="114"/>
      <c r="D54" s="115"/>
      <c r="E54" s="116"/>
      <c r="F54" s="116"/>
      <c r="G54" s="117"/>
      <c r="H54" s="115"/>
      <c r="I54" s="118"/>
      <c r="J54" s="119"/>
      <c r="K54" s="66">
        <v>384108008</v>
      </c>
      <c r="L54" s="29">
        <f>K54</f>
        <v>384108008</v>
      </c>
      <c r="M54" s="29">
        <f>L54*E53/F53</f>
        <v>404324218.94736844</v>
      </c>
      <c r="N54" s="57">
        <v>45951</v>
      </c>
      <c r="O54" s="49">
        <v>0</v>
      </c>
      <c r="P54" s="49" t="s">
        <v>36</v>
      </c>
      <c r="Q54" s="4">
        <f t="shared" si="0"/>
        <v>0</v>
      </c>
      <c r="T54" s="28"/>
      <c r="U54" s="28"/>
    </row>
    <row r="55" spans="3:21" x14ac:dyDescent="0.55000000000000004">
      <c r="C55" s="114"/>
      <c r="D55" s="115"/>
      <c r="E55" s="116"/>
      <c r="F55" s="116"/>
      <c r="G55" s="117"/>
      <c r="H55" s="115"/>
      <c r="I55" s="118"/>
      <c r="J55" s="119"/>
      <c r="K55" s="66">
        <v>409455363</v>
      </c>
      <c r="L55" s="29">
        <f>K55</f>
        <v>409455363</v>
      </c>
      <c r="M55" s="29">
        <f>L55*E53/F53</f>
        <v>431005645.2631579</v>
      </c>
      <c r="N55" s="57">
        <v>45966</v>
      </c>
      <c r="O55" s="49">
        <v>0</v>
      </c>
      <c r="P55" s="49" t="s">
        <v>36</v>
      </c>
      <c r="Q55" s="4">
        <f t="shared" si="0"/>
        <v>0</v>
      </c>
      <c r="T55" s="28"/>
      <c r="U55" s="28"/>
    </row>
    <row r="56" spans="3:21" x14ac:dyDescent="0.55000000000000004">
      <c r="C56" s="114"/>
      <c r="D56" s="115"/>
      <c r="E56" s="116"/>
      <c r="F56" s="116"/>
      <c r="G56" s="117"/>
      <c r="H56" s="115"/>
      <c r="I56" s="118"/>
      <c r="J56" s="119"/>
      <c r="K56" s="66">
        <v>467132009</v>
      </c>
      <c r="L56" s="29">
        <f>K56</f>
        <v>467132009</v>
      </c>
      <c r="M56" s="29">
        <f>L56*E53/F53</f>
        <v>491717904.21052635</v>
      </c>
      <c r="N56" s="57">
        <v>45984</v>
      </c>
      <c r="O56" s="49">
        <f>N56-J53</f>
        <v>2</v>
      </c>
      <c r="P56" s="49" t="s">
        <v>36</v>
      </c>
      <c r="Q56" s="4">
        <f t="shared" si="0"/>
        <v>1446863.0934852201</v>
      </c>
      <c r="T56" s="28"/>
      <c r="U56" s="28"/>
    </row>
    <row r="57" spans="3:21" x14ac:dyDescent="0.55000000000000004">
      <c r="C57" s="114"/>
      <c r="D57" s="115"/>
      <c r="E57" s="116"/>
      <c r="F57" s="116"/>
      <c r="G57" s="117"/>
      <c r="H57" s="115"/>
      <c r="I57" s="118"/>
      <c r="J57" s="119"/>
      <c r="K57" s="125">
        <v>23383247614</v>
      </c>
      <c r="L57" s="29">
        <f>F53-L53-L54-L55-L56</f>
        <v>12235969521.64999</v>
      </c>
      <c r="M57" s="29">
        <f>L57*E53/F53</f>
        <v>12879967917.526306</v>
      </c>
      <c r="N57" s="57">
        <v>45997</v>
      </c>
      <c r="O57" s="49">
        <f>N57-J53</f>
        <v>15</v>
      </c>
      <c r="P57" s="49" t="s">
        <v>36</v>
      </c>
      <c r="Q57" s="4">
        <f t="shared" si="0"/>
        <v>284241483.76897097</v>
      </c>
      <c r="T57" s="28"/>
      <c r="U57" s="28"/>
    </row>
    <row r="58" spans="3:21" x14ac:dyDescent="0.55000000000000004">
      <c r="C58" s="54">
        <v>18</v>
      </c>
      <c r="D58" s="29">
        <v>279782516372</v>
      </c>
      <c r="E58" s="31">
        <f>D58-D53</f>
        <v>1402538684</v>
      </c>
      <c r="F58" s="31">
        <f>E58*(1-0.1-0.05+0.1)</f>
        <v>1332411749.8</v>
      </c>
      <c r="G58" s="55">
        <v>45990</v>
      </c>
      <c r="H58" s="29"/>
      <c r="I58" s="56">
        <v>10</v>
      </c>
      <c r="J58" s="57">
        <f>G58+I58</f>
        <v>46000</v>
      </c>
      <c r="K58" s="126"/>
      <c r="L58" s="29">
        <f>F58</f>
        <v>1332411749.8</v>
      </c>
      <c r="M58" s="29">
        <f>L58*E58/F58</f>
        <v>1402538684</v>
      </c>
      <c r="N58" s="57">
        <v>45997</v>
      </c>
      <c r="O58" s="49">
        <v>0</v>
      </c>
      <c r="P58" s="49" t="s">
        <v>36</v>
      </c>
      <c r="Q58" s="4">
        <f t="shared" si="0"/>
        <v>0</v>
      </c>
      <c r="T58" s="28"/>
      <c r="U58" s="28"/>
    </row>
    <row r="59" spans="3:21" x14ac:dyDescent="0.55000000000000004">
      <c r="C59" s="101">
        <v>19</v>
      </c>
      <c r="D59" s="89">
        <v>137815459306</v>
      </c>
      <c r="E59" s="104">
        <f>D59</f>
        <v>137815459306</v>
      </c>
      <c r="F59" s="104">
        <f>E59*(1-0.1-0.05+0.1)</f>
        <v>130924686340.7</v>
      </c>
      <c r="G59" s="106">
        <v>46027</v>
      </c>
      <c r="H59" s="29"/>
      <c r="I59" s="108">
        <v>10</v>
      </c>
      <c r="J59" s="122">
        <f t="shared" ref="J59:J67" si="4">G59+I59</f>
        <v>46037</v>
      </c>
      <c r="K59" s="126"/>
      <c r="L59" s="29">
        <f>K57-L57-L58</f>
        <v>9814866342.5500107</v>
      </c>
      <c r="M59" s="29">
        <f>L59*E59/F59</f>
        <v>10331438255.315802</v>
      </c>
      <c r="N59" s="57">
        <v>45997</v>
      </c>
      <c r="O59" s="49">
        <v>0</v>
      </c>
      <c r="P59" s="49" t="s">
        <v>36</v>
      </c>
      <c r="Q59" s="4">
        <f t="shared" si="0"/>
        <v>0</v>
      </c>
      <c r="T59" s="28"/>
      <c r="U59" s="28"/>
    </row>
    <row r="60" spans="3:21" x14ac:dyDescent="0.55000000000000004">
      <c r="C60" s="102"/>
      <c r="D60" s="103"/>
      <c r="E60" s="105"/>
      <c r="F60" s="105"/>
      <c r="G60" s="107"/>
      <c r="H60" s="29"/>
      <c r="I60" s="109"/>
      <c r="J60" s="123"/>
      <c r="K60" s="53">
        <v>374756136</v>
      </c>
      <c r="L60" s="29">
        <f>K60</f>
        <v>374756136</v>
      </c>
      <c r="M60" s="29">
        <f>L60*E59/F59</f>
        <v>394480143.15789473</v>
      </c>
      <c r="N60" s="57">
        <v>46001</v>
      </c>
      <c r="O60" s="49">
        <v>0</v>
      </c>
      <c r="P60" s="49" t="s">
        <v>36</v>
      </c>
      <c r="Q60" s="4">
        <f t="shared" si="0"/>
        <v>0</v>
      </c>
      <c r="T60" s="28"/>
      <c r="U60" s="28"/>
    </row>
    <row r="61" spans="3:21" x14ac:dyDescent="0.55000000000000004">
      <c r="C61" s="102"/>
      <c r="D61" s="103"/>
      <c r="E61" s="105"/>
      <c r="F61" s="105"/>
      <c r="G61" s="107"/>
      <c r="H61" s="29"/>
      <c r="I61" s="109"/>
      <c r="J61" s="123"/>
      <c r="K61" s="66">
        <v>364365168</v>
      </c>
      <c r="L61" s="29">
        <f>K61</f>
        <v>364365168</v>
      </c>
      <c r="M61" s="29">
        <f>L61*E59/F59</f>
        <v>383542282.10526317</v>
      </c>
      <c r="N61" s="57">
        <v>46013</v>
      </c>
      <c r="O61" s="49">
        <v>0</v>
      </c>
      <c r="P61" s="49" t="s">
        <v>36</v>
      </c>
      <c r="Q61" s="4">
        <f t="shared" si="0"/>
        <v>0</v>
      </c>
      <c r="T61" s="28"/>
      <c r="U61" s="28"/>
    </row>
    <row r="62" spans="3:21" x14ac:dyDescent="0.55000000000000004">
      <c r="C62" s="102"/>
      <c r="D62" s="103"/>
      <c r="E62" s="105"/>
      <c r="F62" s="105"/>
      <c r="G62" s="107"/>
      <c r="H62" s="29"/>
      <c r="I62" s="109"/>
      <c r="J62" s="123"/>
      <c r="K62" s="64">
        <v>70000000000</v>
      </c>
      <c r="L62" s="29">
        <f>K62</f>
        <v>70000000000</v>
      </c>
      <c r="M62" s="29">
        <f>L62*E59/F59</f>
        <v>73684210526.315796</v>
      </c>
      <c r="N62" s="57">
        <v>46021</v>
      </c>
      <c r="O62" s="49">
        <v>0</v>
      </c>
      <c r="P62" s="49" t="s">
        <v>36</v>
      </c>
      <c r="Q62" s="4">
        <f t="shared" si="0"/>
        <v>0</v>
      </c>
      <c r="T62" s="28"/>
      <c r="U62" s="28"/>
    </row>
    <row r="63" spans="3:21" x14ac:dyDescent="0.55000000000000004">
      <c r="C63" s="102"/>
      <c r="D63" s="103"/>
      <c r="E63" s="105"/>
      <c r="F63" s="105"/>
      <c r="G63" s="107"/>
      <c r="H63" s="29"/>
      <c r="I63" s="109"/>
      <c r="J63" s="123"/>
      <c r="K63" s="64">
        <v>1256834981</v>
      </c>
      <c r="L63" s="29">
        <f>K63</f>
        <v>1256834981</v>
      </c>
      <c r="M63" s="29">
        <f>L63*E59/F59</f>
        <v>1322984190.5263157</v>
      </c>
      <c r="N63" s="57">
        <v>46035</v>
      </c>
      <c r="O63" s="49">
        <v>0</v>
      </c>
      <c r="P63" s="49" t="s">
        <v>36</v>
      </c>
      <c r="Q63" s="4">
        <f t="shared" si="0"/>
        <v>0</v>
      </c>
      <c r="T63" s="28"/>
      <c r="U63" s="28"/>
    </row>
    <row r="64" spans="3:21" x14ac:dyDescent="0.55000000000000004">
      <c r="C64" s="113"/>
      <c r="D64" s="90"/>
      <c r="E64" s="110"/>
      <c r="F64" s="110"/>
      <c r="G64" s="111"/>
      <c r="H64" s="29"/>
      <c r="I64" s="112"/>
      <c r="J64" s="124"/>
      <c r="K64" s="125">
        <v>92065853480</v>
      </c>
      <c r="L64" s="29">
        <f>F59-L59-L60-L61-L62-L63</f>
        <v>49113863713.149994</v>
      </c>
      <c r="M64" s="29">
        <f>L64*E59/F59</f>
        <v>51698803908.578941</v>
      </c>
      <c r="N64" s="57">
        <v>46035</v>
      </c>
      <c r="O64" s="49">
        <v>0</v>
      </c>
      <c r="P64" s="49" t="s">
        <v>36</v>
      </c>
      <c r="Q64" s="4">
        <f t="shared" si="0"/>
        <v>0</v>
      </c>
      <c r="T64" s="28"/>
      <c r="U64" s="28"/>
    </row>
    <row r="65" spans="3:21" x14ac:dyDescent="0.55000000000000004">
      <c r="C65" s="101">
        <v>20</v>
      </c>
      <c r="D65" s="89">
        <v>189427379291</v>
      </c>
      <c r="E65" s="104">
        <f>D65-D59</f>
        <v>51611919985</v>
      </c>
      <c r="F65" s="104">
        <f>E65*(1-0.1-0.05+0.1)</f>
        <v>49031323985.75</v>
      </c>
      <c r="G65" s="106">
        <v>46055</v>
      </c>
      <c r="H65" s="29"/>
      <c r="I65" s="108">
        <v>10</v>
      </c>
      <c r="J65" s="122">
        <f t="shared" si="4"/>
        <v>46065</v>
      </c>
      <c r="K65" s="126"/>
      <c r="L65" s="29">
        <f>K64-L64</f>
        <v>42951989766.850006</v>
      </c>
      <c r="M65" s="29">
        <f>L65*E65/F65</f>
        <v>45212620807.210533</v>
      </c>
      <c r="N65" s="57">
        <v>46035</v>
      </c>
      <c r="O65" s="49">
        <v>0</v>
      </c>
      <c r="P65" s="49" t="s">
        <v>36</v>
      </c>
      <c r="Q65" s="4">
        <f t="shared" si="0"/>
        <v>0</v>
      </c>
      <c r="T65" s="28"/>
      <c r="U65" s="28"/>
    </row>
    <row r="66" spans="3:21" x14ac:dyDescent="0.55000000000000004">
      <c r="C66" s="102"/>
      <c r="D66" s="103"/>
      <c r="E66" s="105"/>
      <c r="F66" s="105"/>
      <c r="G66" s="107"/>
      <c r="H66" s="29"/>
      <c r="I66" s="109"/>
      <c r="J66" s="123"/>
      <c r="K66" s="104">
        <v>12586190226</v>
      </c>
      <c r="L66" s="29">
        <f>F65-L65</f>
        <v>6079334218.8999939</v>
      </c>
      <c r="M66" s="29">
        <f>L66*E65/F65</f>
        <v>6399299177.7894669</v>
      </c>
      <c r="N66" s="57">
        <v>46076</v>
      </c>
      <c r="O66" s="49">
        <f>N66-J65</f>
        <v>11</v>
      </c>
      <c r="P66" s="49" t="s">
        <v>36</v>
      </c>
      <c r="Q66" s="4">
        <f t="shared" si="0"/>
        <v>103563452.72110243</v>
      </c>
      <c r="T66" s="28"/>
      <c r="U66" s="28"/>
    </row>
    <row r="67" spans="3:21" x14ac:dyDescent="0.55000000000000004">
      <c r="C67" s="101">
        <v>21</v>
      </c>
      <c r="D67" s="89">
        <f>512592208353-D58</f>
        <v>232809691981</v>
      </c>
      <c r="E67" s="104">
        <v>46158158580</v>
      </c>
      <c r="F67" s="104">
        <f>E67*(1-0.1-0.05+0.1)</f>
        <v>43850250651</v>
      </c>
      <c r="G67" s="106">
        <v>46085</v>
      </c>
      <c r="H67" s="29"/>
      <c r="I67" s="108">
        <v>10</v>
      </c>
      <c r="J67" s="122">
        <f t="shared" si="4"/>
        <v>46095</v>
      </c>
      <c r="K67" s="110"/>
      <c r="L67" s="29">
        <f>K66-L66</f>
        <v>6506856007.1000061</v>
      </c>
      <c r="M67" s="29">
        <f>L67*E67/F67</f>
        <v>6849322112.7368479</v>
      </c>
      <c r="N67" s="57">
        <v>46076</v>
      </c>
      <c r="O67" s="49">
        <v>0</v>
      </c>
      <c r="P67" s="49" t="s">
        <v>36</v>
      </c>
      <c r="Q67" s="4">
        <f t="shared" si="0"/>
        <v>0</v>
      </c>
      <c r="T67" s="28"/>
      <c r="U67" s="28"/>
    </row>
    <row r="68" spans="3:21" x14ac:dyDescent="0.55000000000000004">
      <c r="C68" s="102"/>
      <c r="D68" s="103"/>
      <c r="E68" s="105"/>
      <c r="F68" s="105"/>
      <c r="G68" s="107"/>
      <c r="H68" s="29"/>
      <c r="I68" s="109"/>
      <c r="J68" s="123"/>
      <c r="K68" s="53">
        <v>749512272</v>
      </c>
      <c r="L68" s="29">
        <f>K68</f>
        <v>749512272</v>
      </c>
      <c r="M68" s="29">
        <f>L68*E67/F67</f>
        <v>788960286.31578946</v>
      </c>
      <c r="N68" s="57">
        <v>46085</v>
      </c>
      <c r="O68" s="49">
        <v>0</v>
      </c>
      <c r="P68" s="49" t="s">
        <v>36</v>
      </c>
      <c r="Q68" s="4">
        <f t="shared" si="0"/>
        <v>0</v>
      </c>
      <c r="T68" s="28"/>
      <c r="U68" s="28"/>
    </row>
    <row r="69" spans="3:21" x14ac:dyDescent="0.55000000000000004">
      <c r="C69" s="113"/>
      <c r="D69" s="90"/>
      <c r="E69" s="110"/>
      <c r="F69" s="110"/>
      <c r="G69" s="111"/>
      <c r="H69" s="29"/>
      <c r="I69" s="112"/>
      <c r="J69" s="124"/>
      <c r="K69" s="89">
        <v>42557822211</v>
      </c>
      <c r="L69" s="29">
        <f>F67-L67-L68</f>
        <v>36593882371.899994</v>
      </c>
      <c r="M69" s="29">
        <f>L69*E67/F67</f>
        <v>38519876180.947357</v>
      </c>
      <c r="N69" s="57" t="s">
        <v>31</v>
      </c>
      <c r="O69" s="49">
        <f>6+18</f>
        <v>24</v>
      </c>
      <c r="P69" s="49" t="s">
        <v>36</v>
      </c>
      <c r="Q69" s="4">
        <f t="shared" si="0"/>
        <v>1360120997.8631496</v>
      </c>
      <c r="T69" s="28"/>
      <c r="U69" s="28"/>
    </row>
    <row r="70" spans="3:21" x14ac:dyDescent="0.55000000000000004">
      <c r="C70" s="101">
        <v>22</v>
      </c>
      <c r="D70" s="89">
        <f>281617853442+4134540451</f>
        <v>285752393893</v>
      </c>
      <c r="E70" s="104">
        <f>D70-D67</f>
        <v>52942701912</v>
      </c>
      <c r="F70" s="104">
        <f>E70*(1-0.1-0.05+0.1)</f>
        <v>50295566816.399994</v>
      </c>
      <c r="G70" s="106">
        <v>46152</v>
      </c>
      <c r="H70" s="58"/>
      <c r="I70" s="108">
        <v>10</v>
      </c>
      <c r="J70" s="122">
        <v>46162</v>
      </c>
      <c r="K70" s="90"/>
      <c r="L70" s="58">
        <f>K69-L69</f>
        <v>5963939839.1000061</v>
      </c>
      <c r="M70" s="58">
        <f>L70*E70/F70</f>
        <v>6277831409.5789547</v>
      </c>
      <c r="N70" s="59" t="s">
        <v>31</v>
      </c>
      <c r="O70" s="49">
        <f t="shared" ref="O70" si="5">6+18</f>
        <v>24</v>
      </c>
      <c r="P70" s="49" t="s">
        <v>36</v>
      </c>
      <c r="Q70" s="65">
        <f t="shared" si="0"/>
        <v>221667647.14151663</v>
      </c>
      <c r="T70" s="28"/>
      <c r="U70" s="28"/>
    </row>
    <row r="71" spans="3:21" x14ac:dyDescent="0.55000000000000004">
      <c r="C71" s="113"/>
      <c r="D71" s="90"/>
      <c r="E71" s="110"/>
      <c r="F71" s="110"/>
      <c r="G71" s="111"/>
      <c r="H71" s="58"/>
      <c r="I71" s="112"/>
      <c r="J71" s="124"/>
      <c r="K71" s="63">
        <v>51270526854</v>
      </c>
      <c r="L71" s="58">
        <f>F70-L70</f>
        <v>44331626977.299988</v>
      </c>
      <c r="M71" s="58">
        <f>L71*E70/F70</f>
        <v>46664870502.421043</v>
      </c>
      <c r="N71" s="59">
        <v>46168</v>
      </c>
      <c r="O71" s="49">
        <f>6</f>
        <v>6</v>
      </c>
      <c r="P71" s="49" t="s">
        <v>36</v>
      </c>
      <c r="Q71" s="65">
        <f t="shared" si="0"/>
        <v>411929350.02411127</v>
      </c>
      <c r="T71" s="28"/>
      <c r="U71" s="28"/>
    </row>
    <row r="72" spans="3:21" ht="24" thickBot="1" x14ac:dyDescent="0.8">
      <c r="C72" s="120" t="s">
        <v>13</v>
      </c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35">
        <f>SUM(Q10:Q71)</f>
        <v>4724107181.9273949</v>
      </c>
    </row>
    <row r="73" spans="3:21" x14ac:dyDescent="0.55000000000000004">
      <c r="Q73" s="30">
        <f>تعدیل!P35</f>
        <v>15947743440.804937</v>
      </c>
    </row>
    <row r="74" spans="3:21" x14ac:dyDescent="0.55000000000000004">
      <c r="Q74" s="30">
        <f>حسن!L12</f>
        <v>2890338436.4031615</v>
      </c>
    </row>
    <row r="75" spans="3:21" x14ac:dyDescent="0.55000000000000004">
      <c r="Q75" s="30">
        <f>'پیش پرداخت'!L13</f>
        <v>122681401.64383563</v>
      </c>
    </row>
    <row r="76" spans="3:21" x14ac:dyDescent="0.55000000000000004">
      <c r="Q76" s="30">
        <f>SUM(Q72:Q75)</f>
        <v>23684870460.779327</v>
      </c>
    </row>
    <row r="77" spans="3:21" x14ac:dyDescent="0.55000000000000004">
      <c r="D77" s="81">
        <v>45385</v>
      </c>
      <c r="E77" s="81"/>
      <c r="F77" s="9"/>
    </row>
    <row r="78" spans="3:21" x14ac:dyDescent="0.55000000000000004">
      <c r="D78" s="81">
        <v>45416</v>
      </c>
      <c r="E78" s="81"/>
      <c r="F78" s="9"/>
    </row>
    <row r="79" spans="3:21" x14ac:dyDescent="0.55000000000000004">
      <c r="D79" s="1">
        <f>D78-D77</f>
        <v>31</v>
      </c>
    </row>
    <row r="81" spans="4:4" x14ac:dyDescent="0.55000000000000004">
      <c r="D81" s="8">
        <v>45385</v>
      </c>
    </row>
    <row r="82" spans="4:4" x14ac:dyDescent="0.55000000000000004">
      <c r="D82" s="8">
        <v>45386</v>
      </c>
    </row>
    <row r="83" spans="4:4" x14ac:dyDescent="0.55000000000000004">
      <c r="D83" s="1">
        <f>D82-D81</f>
        <v>1</v>
      </c>
    </row>
  </sheetData>
  <mergeCells count="186">
    <mergeCell ref="G59:G64"/>
    <mergeCell ref="I59:I64"/>
    <mergeCell ref="J59:J64"/>
    <mergeCell ref="K69:K70"/>
    <mergeCell ref="C70:C71"/>
    <mergeCell ref="D70:D71"/>
    <mergeCell ref="E70:E71"/>
    <mergeCell ref="F70:F71"/>
    <mergeCell ref="G70:G71"/>
    <mergeCell ref="I70:I71"/>
    <mergeCell ref="J70:J71"/>
    <mergeCell ref="J42:J46"/>
    <mergeCell ref="K46:K48"/>
    <mergeCell ref="K49:K50"/>
    <mergeCell ref="K52:K53"/>
    <mergeCell ref="K57:K59"/>
    <mergeCell ref="K64:K65"/>
    <mergeCell ref="K66:K67"/>
    <mergeCell ref="I29:I32"/>
    <mergeCell ref="J29:J32"/>
    <mergeCell ref="K32:K33"/>
    <mergeCell ref="K35:K36"/>
    <mergeCell ref="J50:J52"/>
    <mergeCell ref="J36:J38"/>
    <mergeCell ref="C29:C32"/>
    <mergeCell ref="D29:D32"/>
    <mergeCell ref="E29:E32"/>
    <mergeCell ref="F29:F32"/>
    <mergeCell ref="G29:G32"/>
    <mergeCell ref="C26:C28"/>
    <mergeCell ref="D26:D28"/>
    <mergeCell ref="E26:E28"/>
    <mergeCell ref="F26:F28"/>
    <mergeCell ref="G26:G28"/>
    <mergeCell ref="C1:Q1"/>
    <mergeCell ref="C2:Q2"/>
    <mergeCell ref="C3:Q3"/>
    <mergeCell ref="C4:F4"/>
    <mergeCell ref="G4:L4"/>
    <mergeCell ref="N4:Q4"/>
    <mergeCell ref="C6:D6"/>
    <mergeCell ref="E6:F6"/>
    <mergeCell ref="J6:K6"/>
    <mergeCell ref="N6:O6"/>
    <mergeCell ref="P6:Q6"/>
    <mergeCell ref="C7:D7"/>
    <mergeCell ref="J7:K7"/>
    <mergeCell ref="N7:O7"/>
    <mergeCell ref="P7:Q7"/>
    <mergeCell ref="I10:I12"/>
    <mergeCell ref="J10:J12"/>
    <mergeCell ref="K12:K13"/>
    <mergeCell ref="C10:C12"/>
    <mergeCell ref="D10:D12"/>
    <mergeCell ref="E10:E12"/>
    <mergeCell ref="F10:F12"/>
    <mergeCell ref="G10:G12"/>
    <mergeCell ref="H10:H12"/>
    <mergeCell ref="C13:C14"/>
    <mergeCell ref="D13:D14"/>
    <mergeCell ref="E13:E14"/>
    <mergeCell ref="F13:F14"/>
    <mergeCell ref="G13:G14"/>
    <mergeCell ref="J13:J14"/>
    <mergeCell ref="C17:C19"/>
    <mergeCell ref="D17:D19"/>
    <mergeCell ref="E17:E19"/>
    <mergeCell ref="F17:F19"/>
    <mergeCell ref="G17:G19"/>
    <mergeCell ref="K14:K15"/>
    <mergeCell ref="K16:K17"/>
    <mergeCell ref="C15:C16"/>
    <mergeCell ref="D15:D16"/>
    <mergeCell ref="E15:E16"/>
    <mergeCell ref="F15:F16"/>
    <mergeCell ref="G15:G16"/>
    <mergeCell ref="J15:J16"/>
    <mergeCell ref="H17:H19"/>
    <mergeCell ref="I17:I19"/>
    <mergeCell ref="J17:J19"/>
    <mergeCell ref="K19:K20"/>
    <mergeCell ref="I20:I21"/>
    <mergeCell ref="J20:J21"/>
    <mergeCell ref="C24:C25"/>
    <mergeCell ref="D24:D25"/>
    <mergeCell ref="E24:E25"/>
    <mergeCell ref="F24:F25"/>
    <mergeCell ref="G24:G25"/>
    <mergeCell ref="H24:H25"/>
    <mergeCell ref="I24:I25"/>
    <mergeCell ref="K21:K22"/>
    <mergeCell ref="C20:C21"/>
    <mergeCell ref="D20:D21"/>
    <mergeCell ref="E20:E21"/>
    <mergeCell ref="F20:F21"/>
    <mergeCell ref="G20:G21"/>
    <mergeCell ref="J24:J25"/>
    <mergeCell ref="H20:H21"/>
    <mergeCell ref="C22:C23"/>
    <mergeCell ref="D22:D23"/>
    <mergeCell ref="E22:E23"/>
    <mergeCell ref="F22:F23"/>
    <mergeCell ref="G22:G23"/>
    <mergeCell ref="J22:J23"/>
    <mergeCell ref="K23:K24"/>
    <mergeCell ref="K25:K26"/>
    <mergeCell ref="K28:K29"/>
    <mergeCell ref="H33:H35"/>
    <mergeCell ref="H29:H31"/>
    <mergeCell ref="I33:I35"/>
    <mergeCell ref="J33:J35"/>
    <mergeCell ref="H26:H28"/>
    <mergeCell ref="I26:I28"/>
    <mergeCell ref="J26:J28"/>
    <mergeCell ref="F39:F41"/>
    <mergeCell ref="G39:G41"/>
    <mergeCell ref="H39:H41"/>
    <mergeCell ref="I39:I41"/>
    <mergeCell ref="C36:C38"/>
    <mergeCell ref="D36:D38"/>
    <mergeCell ref="E36:E38"/>
    <mergeCell ref="F36:F38"/>
    <mergeCell ref="G36:G38"/>
    <mergeCell ref="H36:H38"/>
    <mergeCell ref="I36:I38"/>
    <mergeCell ref="C33:C35"/>
    <mergeCell ref="D33:D35"/>
    <mergeCell ref="E33:E35"/>
    <mergeCell ref="F33:F35"/>
    <mergeCell ref="G33:G35"/>
    <mergeCell ref="J39:J41"/>
    <mergeCell ref="H42:H44"/>
    <mergeCell ref="K38:K39"/>
    <mergeCell ref="K41:K42"/>
    <mergeCell ref="C42:C46"/>
    <mergeCell ref="D42:D46"/>
    <mergeCell ref="E42:E46"/>
    <mergeCell ref="F42:F46"/>
    <mergeCell ref="G42:G46"/>
    <mergeCell ref="I42:I46"/>
    <mergeCell ref="C39:C41"/>
    <mergeCell ref="D39:D41"/>
    <mergeCell ref="E39:E41"/>
    <mergeCell ref="C53:C57"/>
    <mergeCell ref="D53:D57"/>
    <mergeCell ref="E53:E57"/>
    <mergeCell ref="F53:F57"/>
    <mergeCell ref="G53:G57"/>
    <mergeCell ref="H53:H57"/>
    <mergeCell ref="I53:I57"/>
    <mergeCell ref="J53:J57"/>
    <mergeCell ref="H48:H49"/>
    <mergeCell ref="C72:P72"/>
    <mergeCell ref="C50:C52"/>
    <mergeCell ref="D50:D52"/>
    <mergeCell ref="E50:E52"/>
    <mergeCell ref="F50:F52"/>
    <mergeCell ref="G50:G52"/>
    <mergeCell ref="I50:I52"/>
    <mergeCell ref="J67:J69"/>
    <mergeCell ref="J65:J66"/>
    <mergeCell ref="J48:J49"/>
    <mergeCell ref="D77:E77"/>
    <mergeCell ref="D78:E78"/>
    <mergeCell ref="C48:C49"/>
    <mergeCell ref="D48:D49"/>
    <mergeCell ref="E48:E49"/>
    <mergeCell ref="F48:F49"/>
    <mergeCell ref="G48:G49"/>
    <mergeCell ref="I48:I49"/>
    <mergeCell ref="D67:D69"/>
    <mergeCell ref="E67:E69"/>
    <mergeCell ref="F67:F69"/>
    <mergeCell ref="G67:G69"/>
    <mergeCell ref="I67:I69"/>
    <mergeCell ref="C65:C66"/>
    <mergeCell ref="D65:D66"/>
    <mergeCell ref="E65:E66"/>
    <mergeCell ref="F65:F66"/>
    <mergeCell ref="G65:G66"/>
    <mergeCell ref="I65:I66"/>
    <mergeCell ref="C67:C69"/>
    <mergeCell ref="C59:C64"/>
    <mergeCell ref="D59:D64"/>
    <mergeCell ref="E59:E64"/>
    <mergeCell ref="F59:F64"/>
  </mergeCells>
  <phoneticPr fontId="6" type="noConversion"/>
  <printOptions horizontalCentered="1"/>
  <pageMargins left="0" right="0" top="0.25" bottom="0.25" header="0.3" footer="0.3"/>
  <pageSetup paperSize="9" scale="49"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P46"/>
  <sheetViews>
    <sheetView rightToLeft="1" view="pageBreakPreview" topLeftCell="F1" zoomScaleNormal="115" zoomScaleSheetLayoutView="100" workbookViewId="0">
      <selection activeCell="Q1" sqref="Q1"/>
    </sheetView>
  </sheetViews>
  <sheetFormatPr defaultColWidth="9.109375" defaultRowHeight="18.600000000000001" x14ac:dyDescent="0.55000000000000004"/>
  <cols>
    <col min="1" max="3" width="9.109375" style="1"/>
    <col min="4" max="4" width="16.44140625" style="1" bestFit="1" customWidth="1"/>
    <col min="5" max="5" width="16.5546875" style="1" bestFit="1" customWidth="1"/>
    <col min="6" max="6" width="16.5546875" style="1" customWidth="1"/>
    <col min="7" max="7" width="14.88671875" style="1" customWidth="1"/>
    <col min="8" max="8" width="7.88671875" style="1" bestFit="1" customWidth="1"/>
    <col min="9" max="9" width="11.5546875" style="1" bestFit="1" customWidth="1"/>
    <col min="10" max="10" width="16" style="1" bestFit="1" customWidth="1"/>
    <col min="11" max="12" width="19.44140625" style="1" customWidth="1"/>
    <col min="13" max="13" width="18.44140625" style="1" customWidth="1"/>
    <col min="14" max="14" width="10.6640625" style="1" bestFit="1" customWidth="1"/>
    <col min="15" max="15" width="20.6640625" style="1" customWidth="1"/>
    <col min="16" max="16" width="19.109375" style="1" customWidth="1"/>
    <col min="17" max="16384" width="9.109375" style="1"/>
  </cols>
  <sheetData>
    <row r="1" spans="3:16" ht="23.4" x14ac:dyDescent="0.75"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3:16" ht="23.4" x14ac:dyDescent="0.75">
      <c r="C2" s="91" t="s">
        <v>21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3:16" ht="23.4" x14ac:dyDescent="0.75">
      <c r="C3" s="91" t="s">
        <v>37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3:16" ht="20.399999999999999" x14ac:dyDescent="0.65">
      <c r="C4" s="98" t="s">
        <v>38</v>
      </c>
      <c r="D4" s="98"/>
      <c r="E4" s="98"/>
      <c r="F4" s="98"/>
      <c r="G4" s="132"/>
      <c r="H4" s="132"/>
      <c r="I4" s="132"/>
      <c r="J4" s="132"/>
      <c r="K4" s="132"/>
      <c r="L4" s="5"/>
      <c r="M4" s="99" t="s">
        <v>39</v>
      </c>
      <c r="N4" s="99"/>
      <c r="O4" s="99"/>
      <c r="P4" s="99"/>
    </row>
    <row r="5" spans="3:16" ht="11.25" customHeight="1" x14ac:dyDescent="0.65">
      <c r="C5" s="6"/>
      <c r="D5" s="6"/>
      <c r="E5" s="6"/>
      <c r="F5" s="6"/>
      <c r="G5" s="5"/>
      <c r="H5" s="5"/>
      <c r="I5" s="5"/>
      <c r="J5" s="5"/>
      <c r="K5" s="5"/>
      <c r="L5" s="5"/>
      <c r="M5" s="7"/>
      <c r="N5" s="7"/>
      <c r="O5" s="7"/>
      <c r="P5" s="7"/>
    </row>
    <row r="6" spans="3:16" x14ac:dyDescent="0.55000000000000004">
      <c r="C6" s="130" t="s">
        <v>3</v>
      </c>
      <c r="D6" s="130"/>
      <c r="E6" s="133">
        <v>45385</v>
      </c>
      <c r="F6" s="133"/>
      <c r="G6" s="2" t="s">
        <v>8</v>
      </c>
      <c r="I6" s="134">
        <v>231630000000</v>
      </c>
      <c r="J6" s="134"/>
      <c r="K6" s="3" t="s">
        <v>4</v>
      </c>
      <c r="L6" s="3"/>
      <c r="M6" s="135"/>
      <c r="N6" s="135"/>
      <c r="O6" s="136"/>
      <c r="P6" s="136"/>
    </row>
    <row r="7" spans="3:16" x14ac:dyDescent="0.55000000000000004">
      <c r="C7" s="130"/>
      <c r="D7" s="130"/>
      <c r="F7" s="2"/>
      <c r="G7" s="2" t="s">
        <v>9</v>
      </c>
      <c r="I7" s="131">
        <v>365</v>
      </c>
      <c r="J7" s="131"/>
      <c r="K7" s="3" t="s">
        <v>5</v>
      </c>
      <c r="L7" s="3"/>
      <c r="M7" s="130"/>
      <c r="N7" s="130"/>
      <c r="O7" s="130"/>
      <c r="P7" s="130"/>
    </row>
    <row r="8" spans="3:16" ht="11.25" customHeight="1" thickBot="1" x14ac:dyDescent="0.6"/>
    <row r="9" spans="3:16" ht="51" customHeight="1" x14ac:dyDescent="0.55000000000000004">
      <c r="C9" s="18" t="s">
        <v>0</v>
      </c>
      <c r="D9" s="19" t="s">
        <v>7</v>
      </c>
      <c r="E9" s="19" t="s">
        <v>19</v>
      </c>
      <c r="F9" s="19" t="s">
        <v>18</v>
      </c>
      <c r="G9" s="19" t="s">
        <v>11</v>
      </c>
      <c r="H9" s="19" t="s">
        <v>10</v>
      </c>
      <c r="I9" s="19" t="s">
        <v>6</v>
      </c>
      <c r="J9" s="19" t="s">
        <v>12</v>
      </c>
      <c r="K9" s="19" t="s">
        <v>32</v>
      </c>
      <c r="L9" s="19" t="s">
        <v>33</v>
      </c>
      <c r="M9" s="19" t="s">
        <v>14</v>
      </c>
      <c r="N9" s="19" t="s">
        <v>16</v>
      </c>
      <c r="O9" s="19" t="s">
        <v>1</v>
      </c>
      <c r="P9" s="20" t="s">
        <v>35</v>
      </c>
    </row>
    <row r="10" spans="3:16" x14ac:dyDescent="0.55000000000000004">
      <c r="C10" s="137">
        <v>1</v>
      </c>
      <c r="D10" s="138">
        <v>1975113819</v>
      </c>
      <c r="E10" s="138">
        <f>D10</f>
        <v>1975113819</v>
      </c>
      <c r="F10" s="138">
        <f>E10*(1-0.1-0.05+0.1)</f>
        <v>1876358128.05</v>
      </c>
      <c r="G10" s="139">
        <v>45530</v>
      </c>
      <c r="H10" s="140">
        <v>10</v>
      </c>
      <c r="I10" s="139">
        <f>G10+H10</f>
        <v>45540</v>
      </c>
      <c r="J10" s="17">
        <v>1821054941</v>
      </c>
      <c r="K10" s="11">
        <f>J10</f>
        <v>1821054941</v>
      </c>
      <c r="L10" s="11">
        <f>K10*E10/F10</f>
        <v>1916899937.894737</v>
      </c>
      <c r="M10" s="12">
        <v>45545</v>
      </c>
      <c r="N10" s="13">
        <f>M10-I10</f>
        <v>5</v>
      </c>
      <c r="O10" s="13" t="s">
        <v>36</v>
      </c>
      <c r="P10" s="11">
        <f>L10*N10/365*0.537</f>
        <v>14101031.04999279</v>
      </c>
    </row>
    <row r="11" spans="3:16" x14ac:dyDescent="0.55000000000000004">
      <c r="C11" s="137"/>
      <c r="D11" s="138"/>
      <c r="E11" s="138"/>
      <c r="F11" s="138"/>
      <c r="G11" s="139"/>
      <c r="H11" s="140"/>
      <c r="I11" s="139"/>
      <c r="J11" s="116">
        <v>1267309113</v>
      </c>
      <c r="K11" s="11">
        <f>F10-K10</f>
        <v>55303187.049999952</v>
      </c>
      <c r="L11" s="11">
        <f>K11*E10/F10</f>
        <v>58213881.105263114</v>
      </c>
      <c r="M11" s="12">
        <v>45656</v>
      </c>
      <c r="N11" s="13">
        <f>M11-I10</f>
        <v>116</v>
      </c>
      <c r="O11" s="13" t="s">
        <v>36</v>
      </c>
      <c r="P11" s="11">
        <f t="shared" ref="P11:P33" si="0">L11*N11/365*0.537</f>
        <v>9934956.3885179479</v>
      </c>
    </row>
    <row r="12" spans="3:16" x14ac:dyDescent="0.55000000000000004">
      <c r="C12" s="141">
        <v>2</v>
      </c>
      <c r="D12" s="142">
        <v>3349635633</v>
      </c>
      <c r="E12" s="142">
        <f>D12-D10</f>
        <v>1374521814</v>
      </c>
      <c r="F12" s="142">
        <f t="shared" ref="F12" si="1">E12*(1-0.1-0.05+0.1)</f>
        <v>1305795723.3</v>
      </c>
      <c r="G12" s="143">
        <v>45644</v>
      </c>
      <c r="H12" s="144">
        <v>10</v>
      </c>
      <c r="I12" s="143">
        <f>G12+H12</f>
        <v>45654</v>
      </c>
      <c r="J12" s="116"/>
      <c r="K12" s="14">
        <f>J11-K11</f>
        <v>1212005925.95</v>
      </c>
      <c r="L12" s="14">
        <f>K12*E12/F12</f>
        <v>1275795711.5263159</v>
      </c>
      <c r="M12" s="15">
        <v>45656</v>
      </c>
      <c r="N12" s="16">
        <f>M12-I12</f>
        <v>2</v>
      </c>
      <c r="O12" s="16" t="s">
        <v>36</v>
      </c>
      <c r="P12" s="14">
        <f t="shared" si="0"/>
        <v>3753985.1895322287</v>
      </c>
    </row>
    <row r="13" spans="3:16" x14ac:dyDescent="0.55000000000000004">
      <c r="C13" s="141"/>
      <c r="D13" s="142"/>
      <c r="E13" s="142"/>
      <c r="F13" s="142"/>
      <c r="G13" s="143"/>
      <c r="H13" s="144"/>
      <c r="I13" s="143"/>
      <c r="J13" s="116">
        <v>24096269299</v>
      </c>
      <c r="K13" s="14">
        <f>F12-K12</f>
        <v>93789797.349999905</v>
      </c>
      <c r="L13" s="14">
        <f>K13*E12/F12</f>
        <v>98726102.473684102</v>
      </c>
      <c r="M13" s="15">
        <v>45706</v>
      </c>
      <c r="N13" s="16">
        <f>M13-I12</f>
        <v>52</v>
      </c>
      <c r="O13" s="16" t="s">
        <v>36</v>
      </c>
      <c r="P13" s="14">
        <f t="shared" si="0"/>
        <v>7552952.5629456304</v>
      </c>
    </row>
    <row r="14" spans="3:16" x14ac:dyDescent="0.55000000000000004">
      <c r="C14" s="137">
        <v>3</v>
      </c>
      <c r="D14" s="138">
        <v>29484417953</v>
      </c>
      <c r="E14" s="138">
        <f>D14-D12</f>
        <v>26134782320</v>
      </c>
      <c r="F14" s="138">
        <f t="shared" ref="F14" si="2">E14*(1-0.1-0.05+0.1)</f>
        <v>24828043204</v>
      </c>
      <c r="G14" s="139">
        <v>45697</v>
      </c>
      <c r="H14" s="140">
        <v>10</v>
      </c>
      <c r="I14" s="139">
        <f>G14+H14</f>
        <v>45707</v>
      </c>
      <c r="J14" s="116"/>
      <c r="K14" s="11">
        <f>J13-K13</f>
        <v>24002479501.650002</v>
      </c>
      <c r="L14" s="11">
        <f>K14*E14/F14</f>
        <v>25265767896.473686</v>
      </c>
      <c r="M14" s="12">
        <v>45706</v>
      </c>
      <c r="N14" s="13">
        <v>0</v>
      </c>
      <c r="O14" s="13" t="s">
        <v>36</v>
      </c>
      <c r="P14" s="11">
        <f t="shared" si="0"/>
        <v>0</v>
      </c>
    </row>
    <row r="15" spans="3:16" x14ac:dyDescent="0.55000000000000004">
      <c r="C15" s="137"/>
      <c r="D15" s="138"/>
      <c r="E15" s="138"/>
      <c r="F15" s="138"/>
      <c r="G15" s="139"/>
      <c r="H15" s="140"/>
      <c r="I15" s="139"/>
      <c r="J15" s="116">
        <v>3624876722</v>
      </c>
      <c r="K15" s="11">
        <f>F14-K14</f>
        <v>825563702.34999847</v>
      </c>
      <c r="L15" s="11">
        <f>K15*E14/F14</f>
        <v>869014423.52631426</v>
      </c>
      <c r="M15" s="12">
        <v>45774</v>
      </c>
      <c r="N15" s="13">
        <f>M15-I14</f>
        <v>67</v>
      </c>
      <c r="O15" s="13" t="s">
        <v>36</v>
      </c>
      <c r="P15" s="11">
        <f t="shared" si="0"/>
        <v>85661013.545351401</v>
      </c>
    </row>
    <row r="16" spans="3:16" x14ac:dyDescent="0.55000000000000004">
      <c r="C16" s="141">
        <v>4</v>
      </c>
      <c r="D16" s="142">
        <v>33415954528</v>
      </c>
      <c r="E16" s="142">
        <f>D16-D14</f>
        <v>3931536575</v>
      </c>
      <c r="F16" s="142">
        <f t="shared" ref="F16" si="3">E16*(1-0.1-0.05+0.1)</f>
        <v>3734959746.25</v>
      </c>
      <c r="G16" s="145">
        <v>45756</v>
      </c>
      <c r="H16" s="144">
        <v>10</v>
      </c>
      <c r="I16" s="143">
        <f>G16+H16</f>
        <v>45766</v>
      </c>
      <c r="J16" s="116"/>
      <c r="K16" s="14">
        <f>J15-K15</f>
        <v>2799313019.6500015</v>
      </c>
      <c r="L16" s="14">
        <f>K16*E16/F16</f>
        <v>2946645283.8421068</v>
      </c>
      <c r="M16" s="15">
        <v>45774</v>
      </c>
      <c r="N16" s="16">
        <f>M16-I16</f>
        <v>8</v>
      </c>
      <c r="O16" s="16" t="s">
        <v>36</v>
      </c>
      <c r="P16" s="14">
        <f t="shared" si="0"/>
        <v>34681611.340782717</v>
      </c>
    </row>
    <row r="17" spans="3:16" x14ac:dyDescent="0.55000000000000004">
      <c r="C17" s="141"/>
      <c r="D17" s="142"/>
      <c r="E17" s="142"/>
      <c r="F17" s="142"/>
      <c r="G17" s="145"/>
      <c r="H17" s="144"/>
      <c r="I17" s="143"/>
      <c r="J17" s="116">
        <v>3574421508</v>
      </c>
      <c r="K17" s="14">
        <f>F16-K16</f>
        <v>935646726.59999847</v>
      </c>
      <c r="L17" s="14">
        <f>K17*E16/F16</f>
        <v>984891291.15789318</v>
      </c>
      <c r="M17" s="15">
        <v>45826</v>
      </c>
      <c r="N17" s="16">
        <f>M17-I16</f>
        <v>60</v>
      </c>
      <c r="O17" s="16" t="s">
        <v>36</v>
      </c>
      <c r="P17" s="14">
        <f t="shared" si="0"/>
        <v>86940266.852348819</v>
      </c>
    </row>
    <row r="18" spans="3:16" x14ac:dyDescent="0.55000000000000004">
      <c r="C18" s="137">
        <v>5</v>
      </c>
      <c r="D18" s="138">
        <v>42876391441</v>
      </c>
      <c r="E18" s="138">
        <f>D18-D16</f>
        <v>9460436913</v>
      </c>
      <c r="F18" s="138">
        <f t="shared" ref="F18" si="4">E18*(1-0.1-0.05+0.1)</f>
        <v>8987415067.3500004</v>
      </c>
      <c r="G18" s="146">
        <v>45815</v>
      </c>
      <c r="H18" s="140">
        <v>10</v>
      </c>
      <c r="I18" s="139">
        <f>G18+H18</f>
        <v>45825</v>
      </c>
      <c r="J18" s="116"/>
      <c r="K18" s="11">
        <f>J17-K17</f>
        <v>2638774781.4000015</v>
      </c>
      <c r="L18" s="11">
        <f>K18*E18/F18</f>
        <v>2777657664.6315804</v>
      </c>
      <c r="M18" s="12">
        <v>45826</v>
      </c>
      <c r="N18" s="13">
        <f>M18-I18</f>
        <v>1</v>
      </c>
      <c r="O18" s="13" t="s">
        <v>36</v>
      </c>
      <c r="P18" s="11">
        <f t="shared" si="0"/>
        <v>4086581.2764579691</v>
      </c>
    </row>
    <row r="19" spans="3:16" x14ac:dyDescent="0.55000000000000004">
      <c r="C19" s="137"/>
      <c r="D19" s="138"/>
      <c r="E19" s="138"/>
      <c r="F19" s="138"/>
      <c r="G19" s="146"/>
      <c r="H19" s="140"/>
      <c r="I19" s="139"/>
      <c r="J19" s="116">
        <v>11283780644</v>
      </c>
      <c r="K19" s="11">
        <f>F18-K18</f>
        <v>6348640285.9499989</v>
      </c>
      <c r="L19" s="11">
        <f>K19*E18/F18</f>
        <v>6682779248.3684196</v>
      </c>
      <c r="M19" s="12">
        <v>45889</v>
      </c>
      <c r="N19" s="13">
        <f>M19-I18</f>
        <v>64</v>
      </c>
      <c r="O19" s="13" t="s">
        <v>36</v>
      </c>
      <c r="P19" s="11">
        <f t="shared" si="0"/>
        <v>629243170.43267357</v>
      </c>
    </row>
    <row r="20" spans="3:16" x14ac:dyDescent="0.55000000000000004">
      <c r="C20" s="141">
        <v>6</v>
      </c>
      <c r="D20" s="142">
        <v>55114765241</v>
      </c>
      <c r="E20" s="142">
        <f>D20-D18</f>
        <v>12238373800</v>
      </c>
      <c r="F20" s="142">
        <f t="shared" ref="F20" si="5">E20*(1-0.1-0.05+0.1)</f>
        <v>11626455110</v>
      </c>
      <c r="G20" s="145">
        <v>45854</v>
      </c>
      <c r="H20" s="144">
        <v>10</v>
      </c>
      <c r="I20" s="143">
        <f>G20+H20</f>
        <v>45864</v>
      </c>
      <c r="J20" s="116"/>
      <c r="K20" s="14">
        <f>J19-K19</f>
        <v>4935140358.0500011</v>
      </c>
      <c r="L20" s="14">
        <f>K20*E20/F20</f>
        <v>5194884587.4210539</v>
      </c>
      <c r="M20" s="15">
        <v>45889</v>
      </c>
      <c r="N20" s="16">
        <f>M20-I20</f>
        <v>25</v>
      </c>
      <c r="O20" s="16" t="s">
        <v>36</v>
      </c>
      <c r="P20" s="14">
        <f t="shared" si="0"/>
        <v>191072124.89350042</v>
      </c>
    </row>
    <row r="21" spans="3:16" x14ac:dyDescent="0.55000000000000004">
      <c r="C21" s="141"/>
      <c r="D21" s="142"/>
      <c r="E21" s="142"/>
      <c r="F21" s="142"/>
      <c r="G21" s="145"/>
      <c r="H21" s="144"/>
      <c r="I21" s="143"/>
      <c r="J21" s="116">
        <v>10001604557</v>
      </c>
      <c r="K21" s="14">
        <f>F20-K20</f>
        <v>6691314751.9499989</v>
      </c>
      <c r="L21" s="14">
        <f>K21*E20/F20</f>
        <v>7043489212.5789461</v>
      </c>
      <c r="M21" s="15">
        <v>45935</v>
      </c>
      <c r="N21" s="16">
        <f>M21-I20</f>
        <v>71</v>
      </c>
      <c r="O21" s="16" t="s">
        <v>36</v>
      </c>
      <c r="P21" s="14">
        <f t="shared" si="0"/>
        <v>735745515.63834929</v>
      </c>
    </row>
    <row r="22" spans="3:16" x14ac:dyDescent="0.55000000000000004">
      <c r="C22" s="150">
        <v>7</v>
      </c>
      <c r="D22" s="153">
        <v>75885274296</v>
      </c>
      <c r="E22" s="153">
        <f>D22-D20</f>
        <v>20770509055</v>
      </c>
      <c r="F22" s="153">
        <f t="shared" ref="F22" si="6">E22*(1-0.1-0.05+0.1)</f>
        <v>19731983602.25</v>
      </c>
      <c r="G22" s="156">
        <v>45929</v>
      </c>
      <c r="H22" s="147">
        <v>10</v>
      </c>
      <c r="I22" s="159">
        <f>G22+H22</f>
        <v>45939</v>
      </c>
      <c r="J22" s="116"/>
      <c r="K22" s="11">
        <f>J21-K21</f>
        <v>3310289805.0500011</v>
      </c>
      <c r="L22" s="11">
        <f>K22*E22/F22</f>
        <v>3484515584.2631593</v>
      </c>
      <c r="M22" s="12">
        <v>45935</v>
      </c>
      <c r="N22" s="13">
        <v>0</v>
      </c>
      <c r="O22" s="13" t="s">
        <v>36</v>
      </c>
      <c r="P22" s="11">
        <f t="shared" si="0"/>
        <v>0</v>
      </c>
    </row>
    <row r="23" spans="3:16" x14ac:dyDescent="0.55000000000000004">
      <c r="C23" s="151"/>
      <c r="D23" s="154"/>
      <c r="E23" s="154"/>
      <c r="F23" s="154"/>
      <c r="G23" s="157"/>
      <c r="H23" s="148"/>
      <c r="I23" s="160"/>
      <c r="J23" s="17">
        <v>4681652034</v>
      </c>
      <c r="K23" s="11">
        <f>J23</f>
        <v>4681652034</v>
      </c>
      <c r="L23" s="11">
        <f>K23*E22/F22</f>
        <v>4928054772.6315784</v>
      </c>
      <c r="M23" s="12">
        <v>45977</v>
      </c>
      <c r="N23" s="13">
        <f>M23-I22</f>
        <v>38</v>
      </c>
      <c r="O23" s="13" t="s">
        <v>36</v>
      </c>
      <c r="P23" s="11">
        <f t="shared" si="0"/>
        <v>275512015.58991778</v>
      </c>
    </row>
    <row r="24" spans="3:16" x14ac:dyDescent="0.55000000000000004">
      <c r="C24" s="152"/>
      <c r="D24" s="155"/>
      <c r="E24" s="155"/>
      <c r="F24" s="155"/>
      <c r="G24" s="158"/>
      <c r="H24" s="149"/>
      <c r="I24" s="161"/>
      <c r="J24" s="104">
        <v>17392013378</v>
      </c>
      <c r="K24" s="11">
        <f>F22-K22-K23</f>
        <v>11740041763.199999</v>
      </c>
      <c r="L24" s="11">
        <f>K24*E22/F22</f>
        <v>12357938698.105263</v>
      </c>
      <c r="M24" s="12">
        <v>46011</v>
      </c>
      <c r="N24" s="13">
        <f>M24-I22</f>
        <v>72</v>
      </c>
      <c r="O24" s="13" t="s">
        <v>36</v>
      </c>
      <c r="P24" s="11">
        <f t="shared" si="0"/>
        <v>1309061210.4754572</v>
      </c>
    </row>
    <row r="25" spans="3:16" x14ac:dyDescent="0.55000000000000004">
      <c r="C25" s="24">
        <v>8</v>
      </c>
      <c r="D25" s="14">
        <v>80962988293</v>
      </c>
      <c r="E25" s="14">
        <f>D25-D22</f>
        <v>5077713997</v>
      </c>
      <c r="F25" s="14">
        <f t="shared" ref="F25" si="7">E25*(1-0.1-0.05+0.1)</f>
        <v>4823828297.1499996</v>
      </c>
      <c r="G25" s="33">
        <v>45970</v>
      </c>
      <c r="H25" s="25">
        <v>10</v>
      </c>
      <c r="I25" s="15">
        <f>G25+H25</f>
        <v>45980</v>
      </c>
      <c r="J25" s="105"/>
      <c r="K25" s="14">
        <f>F25</f>
        <v>4823828297.1499996</v>
      </c>
      <c r="L25" s="14">
        <f>K25*E25/F25</f>
        <v>5077713997</v>
      </c>
      <c r="M25" s="15">
        <v>46011</v>
      </c>
      <c r="N25" s="16">
        <f>M25-I25</f>
        <v>31</v>
      </c>
      <c r="O25" s="16" t="s">
        <v>36</v>
      </c>
      <c r="P25" s="14">
        <f t="shared" si="0"/>
        <v>231585492.89879179</v>
      </c>
    </row>
    <row r="26" spans="3:16" x14ac:dyDescent="0.55000000000000004">
      <c r="C26" s="137">
        <v>9</v>
      </c>
      <c r="D26" s="138">
        <v>99826343367</v>
      </c>
      <c r="E26" s="138">
        <f>D26-D25</f>
        <v>18863355074</v>
      </c>
      <c r="F26" s="138">
        <f>E26*(1-0.1-0.05+0.1)</f>
        <v>17920187320.299999</v>
      </c>
      <c r="G26" s="146">
        <v>46005</v>
      </c>
      <c r="H26" s="140">
        <v>10</v>
      </c>
      <c r="I26" s="139">
        <f>G26+H26</f>
        <v>46015</v>
      </c>
      <c r="J26" s="110"/>
      <c r="K26" s="11">
        <f>J24-K24-K25</f>
        <v>828143317.65000153</v>
      </c>
      <c r="L26" s="11">
        <f>K26*E26/F26</f>
        <v>871729808.05263329</v>
      </c>
      <c r="M26" s="12">
        <v>46011</v>
      </c>
      <c r="N26" s="13">
        <v>0</v>
      </c>
      <c r="O26" s="13" t="s">
        <v>36</v>
      </c>
      <c r="P26" s="11">
        <f t="shared" si="0"/>
        <v>0</v>
      </c>
    </row>
    <row r="27" spans="3:16" x14ac:dyDescent="0.55000000000000004">
      <c r="C27" s="137"/>
      <c r="D27" s="138"/>
      <c r="E27" s="138"/>
      <c r="F27" s="138"/>
      <c r="G27" s="146"/>
      <c r="H27" s="140"/>
      <c r="I27" s="139"/>
      <c r="J27" s="104">
        <v>35295904951</v>
      </c>
      <c r="K27" s="11">
        <f>F26-K26</f>
        <v>17092044002.649998</v>
      </c>
      <c r="L27" s="11">
        <f>K27*E26/F26</f>
        <v>17991625265.947369</v>
      </c>
      <c r="M27" s="12">
        <v>46063</v>
      </c>
      <c r="N27" s="13">
        <f>M27-I26</f>
        <v>48</v>
      </c>
      <c r="O27" s="13" t="s">
        <v>36</v>
      </c>
      <c r="P27" s="11">
        <f t="shared" si="0"/>
        <v>1270553788.6439984</v>
      </c>
    </row>
    <row r="28" spans="3:16" x14ac:dyDescent="0.55000000000000004">
      <c r="C28" s="162">
        <v>10</v>
      </c>
      <c r="D28" s="164">
        <v>138108235939</v>
      </c>
      <c r="E28" s="164">
        <f>D28-D26</f>
        <v>38281892572</v>
      </c>
      <c r="F28" s="164">
        <f>E28*(1-0.1-0.05+0.1)</f>
        <v>36367797943.400002</v>
      </c>
      <c r="G28" s="166">
        <v>46046</v>
      </c>
      <c r="H28" s="168">
        <v>10</v>
      </c>
      <c r="I28" s="170">
        <f>G28+H28</f>
        <v>46056</v>
      </c>
      <c r="J28" s="110"/>
      <c r="K28" s="45">
        <f>J27-K27</f>
        <v>18203860948.350002</v>
      </c>
      <c r="L28" s="45">
        <f>K28*E28/F28</f>
        <v>19161958893</v>
      </c>
      <c r="M28" s="15">
        <v>46063</v>
      </c>
      <c r="N28" s="16">
        <f>M28-I28</f>
        <v>7</v>
      </c>
      <c r="O28" s="16" t="s">
        <v>36</v>
      </c>
      <c r="P28" s="45">
        <f t="shared" si="0"/>
        <v>197341927.3391425</v>
      </c>
    </row>
    <row r="29" spans="3:16" x14ac:dyDescent="0.55000000000000004">
      <c r="C29" s="163"/>
      <c r="D29" s="165"/>
      <c r="E29" s="165"/>
      <c r="F29" s="165"/>
      <c r="G29" s="167"/>
      <c r="H29" s="169"/>
      <c r="I29" s="171"/>
      <c r="J29" s="104">
        <v>143589674470</v>
      </c>
      <c r="K29" s="45">
        <f>F28-K28</f>
        <v>18163936995.049999</v>
      </c>
      <c r="L29" s="45">
        <f>K29*E28/F28</f>
        <v>19119933678.999996</v>
      </c>
      <c r="M29" s="46">
        <v>46083</v>
      </c>
      <c r="N29" s="16">
        <f>M29-I28</f>
        <v>27</v>
      </c>
      <c r="O29" s="16" t="s">
        <v>36</v>
      </c>
      <c r="P29" s="45">
        <f t="shared" si="0"/>
        <v>759506625.78581083</v>
      </c>
    </row>
    <row r="30" spans="3:16" x14ac:dyDescent="0.55000000000000004">
      <c r="C30" s="150">
        <v>11</v>
      </c>
      <c r="D30" s="153">
        <v>293845409984</v>
      </c>
      <c r="E30" s="153">
        <f>D30-D28</f>
        <v>155737174045</v>
      </c>
      <c r="F30" s="153">
        <f>E30*(1-0.1-0.05+0.1)</f>
        <v>147950315342.75</v>
      </c>
      <c r="G30" s="156">
        <v>46056</v>
      </c>
      <c r="H30" s="147">
        <v>10</v>
      </c>
      <c r="I30" s="159">
        <f t="shared" ref="I30:I32" si="8">G30+H30</f>
        <v>46066</v>
      </c>
      <c r="J30" s="110"/>
      <c r="K30" s="43">
        <f>J29-K29</f>
        <v>125425737474.95</v>
      </c>
      <c r="L30" s="43">
        <f>K30*E30/F30</f>
        <v>132027092078.89471</v>
      </c>
      <c r="M30" s="44">
        <v>46083</v>
      </c>
      <c r="N30" s="13">
        <f>M30-I30</f>
        <v>17</v>
      </c>
      <c r="O30" s="13" t="s">
        <v>36</v>
      </c>
      <c r="P30" s="43">
        <f t="shared" si="0"/>
        <v>3302124174.2143283</v>
      </c>
    </row>
    <row r="31" spans="3:16" x14ac:dyDescent="0.55000000000000004">
      <c r="C31" s="152"/>
      <c r="D31" s="155"/>
      <c r="E31" s="155"/>
      <c r="F31" s="155"/>
      <c r="G31" s="158"/>
      <c r="H31" s="149"/>
      <c r="I31" s="161"/>
      <c r="J31" s="104">
        <v>89143285145</v>
      </c>
      <c r="K31" s="43">
        <f>F30-K30</f>
        <v>22524577867.800003</v>
      </c>
      <c r="L31" s="43">
        <f>K31*E30/F30</f>
        <v>23710081966.105267</v>
      </c>
      <c r="M31" s="44">
        <v>46133</v>
      </c>
      <c r="N31" s="13">
        <f>M31-I30</f>
        <v>67</v>
      </c>
      <c r="O31" s="13" t="s">
        <v>36</v>
      </c>
      <c r="P31" s="43">
        <f t="shared" si="0"/>
        <v>2337164490.5712371</v>
      </c>
    </row>
    <row r="32" spans="3:16" x14ac:dyDescent="0.55000000000000004">
      <c r="C32" s="162">
        <v>12</v>
      </c>
      <c r="D32" s="164">
        <v>390530101032</v>
      </c>
      <c r="E32" s="164">
        <f>D32-D30</f>
        <v>96684691048</v>
      </c>
      <c r="F32" s="164">
        <f t="shared" ref="F32" si="9">E32*(1-0.1-0.05+0.1)</f>
        <v>91850456495.599991</v>
      </c>
      <c r="G32" s="166">
        <v>46097</v>
      </c>
      <c r="H32" s="168">
        <v>10</v>
      </c>
      <c r="I32" s="170">
        <f t="shared" si="8"/>
        <v>46107</v>
      </c>
      <c r="J32" s="110"/>
      <c r="K32" s="45">
        <f>J31-K31</f>
        <v>66618707277.199997</v>
      </c>
      <c r="L32" s="45">
        <f>K32*E32/F32</f>
        <v>70124955028.631592</v>
      </c>
      <c r="M32" s="46">
        <v>46133</v>
      </c>
      <c r="N32" s="16">
        <f>M32-I32</f>
        <v>26</v>
      </c>
      <c r="O32" s="16" t="s">
        <v>36</v>
      </c>
      <c r="P32" s="45">
        <f t="shared" si="0"/>
        <v>2682423622.2185054</v>
      </c>
    </row>
    <row r="33" spans="3:16" x14ac:dyDescent="0.55000000000000004">
      <c r="C33" s="163"/>
      <c r="D33" s="165"/>
      <c r="E33" s="165"/>
      <c r="F33" s="165"/>
      <c r="G33" s="167"/>
      <c r="H33" s="169"/>
      <c r="I33" s="171"/>
      <c r="J33" s="31" t="s">
        <v>30</v>
      </c>
      <c r="K33" s="45">
        <f>F32-K32</f>
        <v>25231749218.399994</v>
      </c>
      <c r="L33" s="45">
        <f>K33*E32/F32</f>
        <v>26559736019.368416</v>
      </c>
      <c r="M33" s="46">
        <v>46133</v>
      </c>
      <c r="N33" s="16">
        <f>M33-I32</f>
        <v>26</v>
      </c>
      <c r="O33" s="16" t="s">
        <v>36</v>
      </c>
      <c r="P33" s="45">
        <f t="shared" si="0"/>
        <v>1015964477.5408818</v>
      </c>
    </row>
    <row r="34" spans="3:16" x14ac:dyDescent="0.55000000000000004">
      <c r="C34" s="70">
        <v>13</v>
      </c>
      <c r="D34" s="71">
        <v>437721962945</v>
      </c>
      <c r="E34" s="71">
        <f>D34-D32</f>
        <v>47191861913</v>
      </c>
      <c r="F34" s="71">
        <f>E34*(1-0.1-0.05+0.1)</f>
        <v>44832268817.349998</v>
      </c>
      <c r="G34" s="72">
        <v>46152</v>
      </c>
      <c r="H34" s="69">
        <v>10</v>
      </c>
      <c r="I34" s="73">
        <v>46162</v>
      </c>
      <c r="J34" s="60" t="s">
        <v>30</v>
      </c>
      <c r="K34" s="67">
        <f>F34</f>
        <v>44832268817.349998</v>
      </c>
      <c r="L34" s="67">
        <f>K34*E34/F34</f>
        <v>47191861913</v>
      </c>
      <c r="M34" s="68">
        <v>46173</v>
      </c>
      <c r="N34" s="74">
        <f>M34-I34</f>
        <v>11</v>
      </c>
      <c r="O34" s="13" t="s">
        <v>36</v>
      </c>
      <c r="P34" s="67">
        <f>L34*N34/365*0.537</f>
        <v>763732406.35641372</v>
      </c>
    </row>
    <row r="35" spans="3:16" ht="24" thickBot="1" x14ac:dyDescent="0.8">
      <c r="C35" s="120" t="s">
        <v>13</v>
      </c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35">
        <f>SUM(P10:P34)</f>
        <v>15947743440.804937</v>
      </c>
    </row>
    <row r="40" spans="3:16" x14ac:dyDescent="0.55000000000000004">
      <c r="D40" s="81">
        <v>45385</v>
      </c>
      <c r="E40" s="81"/>
      <c r="F40" s="9"/>
    </row>
    <row r="41" spans="3:16" x14ac:dyDescent="0.55000000000000004">
      <c r="D41" s="81">
        <v>45416</v>
      </c>
      <c r="E41" s="81"/>
      <c r="F41" s="9"/>
    </row>
    <row r="42" spans="3:16" x14ac:dyDescent="0.55000000000000004">
      <c r="D42" s="1">
        <f>D41-D40</f>
        <v>31</v>
      </c>
    </row>
    <row r="44" spans="3:16" x14ac:dyDescent="0.55000000000000004">
      <c r="D44" s="8">
        <v>45385</v>
      </c>
    </row>
    <row r="45" spans="3:16" x14ac:dyDescent="0.55000000000000004">
      <c r="D45" s="8">
        <v>45386</v>
      </c>
    </row>
    <row r="46" spans="3:16" x14ac:dyDescent="0.55000000000000004">
      <c r="D46" s="1">
        <f>D45-D44</f>
        <v>1</v>
      </c>
    </row>
  </sheetData>
  <mergeCells count="105">
    <mergeCell ref="I20:I21"/>
    <mergeCell ref="C35:O35"/>
    <mergeCell ref="D40:E40"/>
    <mergeCell ref="D41:E41"/>
    <mergeCell ref="H26:H27"/>
    <mergeCell ref="I26:I27"/>
    <mergeCell ref="C30:C31"/>
    <mergeCell ref="D30:D31"/>
    <mergeCell ref="E30:E31"/>
    <mergeCell ref="F30:F31"/>
    <mergeCell ref="G30:G31"/>
    <mergeCell ref="H30:H31"/>
    <mergeCell ref="I30:I31"/>
    <mergeCell ref="J24:J26"/>
    <mergeCell ref="C32:C33"/>
    <mergeCell ref="D32:D33"/>
    <mergeCell ref="E32:E33"/>
    <mergeCell ref="F32:F33"/>
    <mergeCell ref="G32:G33"/>
    <mergeCell ref="H32:H33"/>
    <mergeCell ref="I32:I33"/>
    <mergeCell ref="J31:J32"/>
    <mergeCell ref="C26:C27"/>
    <mergeCell ref="D26:D27"/>
    <mergeCell ref="E26:E27"/>
    <mergeCell ref="F26:F27"/>
    <mergeCell ref="G26:G27"/>
    <mergeCell ref="J27:J28"/>
    <mergeCell ref="C28:C29"/>
    <mergeCell ref="D28:D29"/>
    <mergeCell ref="E28:E29"/>
    <mergeCell ref="F28:F29"/>
    <mergeCell ref="G28:G29"/>
    <mergeCell ref="H28:H29"/>
    <mergeCell ref="I28:I29"/>
    <mergeCell ref="J29:J30"/>
    <mergeCell ref="C18:C19"/>
    <mergeCell ref="D18:D19"/>
    <mergeCell ref="E18:E19"/>
    <mergeCell ref="F18:F19"/>
    <mergeCell ref="G18:G19"/>
    <mergeCell ref="J21:J22"/>
    <mergeCell ref="J19:J20"/>
    <mergeCell ref="H22:H24"/>
    <mergeCell ref="C22:C24"/>
    <mergeCell ref="D22:D24"/>
    <mergeCell ref="E22:E24"/>
    <mergeCell ref="F22:F24"/>
    <mergeCell ref="G22:G24"/>
    <mergeCell ref="I22:I24"/>
    <mergeCell ref="C20:C21"/>
    <mergeCell ref="D20:D21"/>
    <mergeCell ref="E20:E21"/>
    <mergeCell ref="F20:F21"/>
    <mergeCell ref="G20:G21"/>
    <mergeCell ref="H20:H21"/>
    <mergeCell ref="C14:C15"/>
    <mergeCell ref="D14:D15"/>
    <mergeCell ref="E14:E15"/>
    <mergeCell ref="F14:F15"/>
    <mergeCell ref="G14:G15"/>
    <mergeCell ref="C16:C17"/>
    <mergeCell ref="D16:D17"/>
    <mergeCell ref="E16:E17"/>
    <mergeCell ref="F16:F17"/>
    <mergeCell ref="G16:G17"/>
    <mergeCell ref="J13:J14"/>
    <mergeCell ref="H14:H15"/>
    <mergeCell ref="I14:I15"/>
    <mergeCell ref="J15:J16"/>
    <mergeCell ref="H16:H17"/>
    <mergeCell ref="I16:I17"/>
    <mergeCell ref="J17:J18"/>
    <mergeCell ref="H18:H19"/>
    <mergeCell ref="I18:I19"/>
    <mergeCell ref="C7:D7"/>
    <mergeCell ref="I7:J7"/>
    <mergeCell ref="M7:N7"/>
    <mergeCell ref="O7:P7"/>
    <mergeCell ref="C10:C11"/>
    <mergeCell ref="D10:D11"/>
    <mergeCell ref="E10:E11"/>
    <mergeCell ref="F10:F11"/>
    <mergeCell ref="G10:G11"/>
    <mergeCell ref="H10:H11"/>
    <mergeCell ref="I10:I11"/>
    <mergeCell ref="J11:J12"/>
    <mergeCell ref="C12:C13"/>
    <mergeCell ref="D12:D13"/>
    <mergeCell ref="E12:E13"/>
    <mergeCell ref="F12:F13"/>
    <mergeCell ref="G12:G13"/>
    <mergeCell ref="H12:H13"/>
    <mergeCell ref="I12:I13"/>
    <mergeCell ref="C6:D6"/>
    <mergeCell ref="E6:F6"/>
    <mergeCell ref="I6:J6"/>
    <mergeCell ref="M6:N6"/>
    <mergeCell ref="O6:P6"/>
    <mergeCell ref="C1:P1"/>
    <mergeCell ref="C3:P3"/>
    <mergeCell ref="C4:F4"/>
    <mergeCell ref="G4:K4"/>
    <mergeCell ref="M4:P4"/>
    <mergeCell ref="C2:P2"/>
  </mergeCells>
  <phoneticPr fontId="6" type="noConversion"/>
  <printOptions horizontalCentered="1"/>
  <pageMargins left="0.2" right="0.2" top="0.75" bottom="0.75" header="0.3" footer="0.3"/>
  <pageSetup paperSize="9" scale="66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12"/>
  <sheetViews>
    <sheetView rightToLeft="1" view="pageBreakPreview" topLeftCell="A3" zoomScale="90" zoomScaleNormal="115" zoomScaleSheetLayoutView="90" workbookViewId="0">
      <selection activeCell="A3" sqref="A3"/>
    </sheetView>
  </sheetViews>
  <sheetFormatPr defaultColWidth="9.109375" defaultRowHeight="18.600000000000001" x14ac:dyDescent="0.55000000000000004"/>
  <cols>
    <col min="1" max="3" width="9.109375" style="1"/>
    <col min="4" max="4" width="16.44140625" style="1" bestFit="1" customWidth="1"/>
    <col min="5" max="5" width="14.88671875" style="1" customWidth="1"/>
    <col min="6" max="6" width="14.44140625" style="1" hidden="1" customWidth="1"/>
    <col min="7" max="7" width="15.44140625" style="1" customWidth="1"/>
    <col min="8" max="8" width="19.44140625" style="1" customWidth="1"/>
    <col min="9" max="9" width="18.44140625" style="1" customWidth="1"/>
    <col min="10" max="10" width="10.6640625" style="1" bestFit="1" customWidth="1"/>
    <col min="11" max="11" width="23.33203125" style="1" customWidth="1"/>
    <col min="12" max="12" width="15" style="1" bestFit="1" customWidth="1"/>
    <col min="13" max="16384" width="9.109375" style="1"/>
  </cols>
  <sheetData>
    <row r="1" spans="3:12" ht="23.4" x14ac:dyDescent="0.75"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3:12" ht="23.4" x14ac:dyDescent="0.75">
      <c r="C2" s="91" t="s">
        <v>24</v>
      </c>
      <c r="D2" s="91"/>
      <c r="E2" s="91"/>
      <c r="F2" s="91"/>
      <c r="G2" s="91"/>
      <c r="H2" s="91"/>
      <c r="I2" s="91"/>
      <c r="J2" s="91"/>
      <c r="K2" s="91"/>
      <c r="L2" s="91"/>
    </row>
    <row r="3" spans="3:12" ht="23.4" x14ac:dyDescent="0.75">
      <c r="C3" s="91" t="s">
        <v>37</v>
      </c>
      <c r="D3" s="91"/>
      <c r="E3" s="91"/>
      <c r="F3" s="91"/>
      <c r="G3" s="91"/>
      <c r="H3" s="91"/>
      <c r="I3" s="91"/>
      <c r="J3" s="91"/>
      <c r="K3" s="91"/>
      <c r="L3" s="91"/>
    </row>
    <row r="4" spans="3:12" ht="20.399999999999999" x14ac:dyDescent="0.65">
      <c r="C4" s="98" t="s">
        <v>40</v>
      </c>
      <c r="D4" s="98"/>
      <c r="E4" s="98"/>
      <c r="F4" s="98"/>
      <c r="G4" s="98"/>
      <c r="H4" s="98"/>
      <c r="I4" s="99" t="s">
        <v>39</v>
      </c>
      <c r="J4" s="99"/>
      <c r="K4" s="99"/>
      <c r="L4" s="99"/>
    </row>
    <row r="5" spans="3:12" ht="11.25" customHeight="1" x14ac:dyDescent="0.65">
      <c r="C5" s="6"/>
      <c r="D5" s="6"/>
      <c r="E5" s="5"/>
      <c r="F5" s="5"/>
      <c r="G5" s="5"/>
      <c r="H5" s="5"/>
      <c r="I5" s="7"/>
      <c r="J5" s="7"/>
      <c r="K5" s="7"/>
      <c r="L5" s="7"/>
    </row>
    <row r="6" spans="3:12" x14ac:dyDescent="0.55000000000000004">
      <c r="C6" s="130" t="s">
        <v>3</v>
      </c>
      <c r="D6" s="130"/>
      <c r="E6" s="2" t="s">
        <v>8</v>
      </c>
      <c r="G6" s="30">
        <v>231630000000</v>
      </c>
      <c r="H6" s="3" t="s">
        <v>4</v>
      </c>
      <c r="I6" s="135"/>
      <c r="J6" s="135"/>
      <c r="K6" s="136"/>
      <c r="L6" s="136"/>
    </row>
    <row r="7" spans="3:12" x14ac:dyDescent="0.55000000000000004">
      <c r="C7" s="136">
        <v>45385</v>
      </c>
      <c r="D7" s="136"/>
      <c r="E7" s="2" t="s">
        <v>9</v>
      </c>
      <c r="G7" s="32">
        <v>365</v>
      </c>
      <c r="H7" s="3" t="s">
        <v>5</v>
      </c>
      <c r="I7" s="130"/>
      <c r="J7" s="130"/>
      <c r="K7" s="130"/>
      <c r="L7" s="130"/>
    </row>
    <row r="8" spans="3:12" ht="11.25" customHeight="1" thickBot="1" x14ac:dyDescent="0.6"/>
    <row r="9" spans="3:12" ht="51" customHeight="1" x14ac:dyDescent="0.55000000000000004">
      <c r="C9" s="18" t="s">
        <v>0</v>
      </c>
      <c r="D9" s="19" t="s">
        <v>20</v>
      </c>
      <c r="E9" s="19" t="s">
        <v>11</v>
      </c>
      <c r="F9" s="19" t="s">
        <v>10</v>
      </c>
      <c r="G9" s="19" t="s">
        <v>6</v>
      </c>
      <c r="H9" s="19" t="s">
        <v>15</v>
      </c>
      <c r="I9" s="19" t="s">
        <v>14</v>
      </c>
      <c r="J9" s="19" t="s">
        <v>16</v>
      </c>
      <c r="K9" s="19" t="s">
        <v>1</v>
      </c>
      <c r="L9" s="20" t="s">
        <v>2</v>
      </c>
    </row>
    <row r="10" spans="3:12" x14ac:dyDescent="0.55000000000000004">
      <c r="C10" s="137">
        <v>1</v>
      </c>
      <c r="D10" s="138">
        <v>20000000000</v>
      </c>
      <c r="E10" s="139">
        <v>45700</v>
      </c>
      <c r="F10" s="140">
        <v>10</v>
      </c>
      <c r="G10" s="139">
        <f>E10+F10</f>
        <v>45710</v>
      </c>
      <c r="H10" s="11">
        <v>15355628946</v>
      </c>
      <c r="I10" s="12">
        <v>45710</v>
      </c>
      <c r="J10" s="13">
        <f>I10-G10</f>
        <v>0</v>
      </c>
      <c r="K10" s="13" t="s">
        <v>36</v>
      </c>
      <c r="L10" s="27">
        <f>H10*J10/365*0.506</f>
        <v>0</v>
      </c>
    </row>
    <row r="11" spans="3:12" x14ac:dyDescent="0.55000000000000004">
      <c r="C11" s="137"/>
      <c r="D11" s="138"/>
      <c r="E11" s="139"/>
      <c r="F11" s="140"/>
      <c r="G11" s="139"/>
      <c r="H11" s="11">
        <f>D10-H10</f>
        <v>4644371054</v>
      </c>
      <c r="I11" s="12">
        <v>46133</v>
      </c>
      <c r="J11" s="13">
        <f>I11-G10</f>
        <v>423</v>
      </c>
      <c r="K11" s="13" t="s">
        <v>36</v>
      </c>
      <c r="L11" s="27">
        <f>H11*J11/365*0.537</f>
        <v>2890338436.4031615</v>
      </c>
    </row>
    <row r="12" spans="3:12" ht="21" thickBot="1" x14ac:dyDescent="0.7">
      <c r="C12" s="172" t="s">
        <v>13</v>
      </c>
      <c r="D12" s="173"/>
      <c r="E12" s="173"/>
      <c r="F12" s="173"/>
      <c r="G12" s="173"/>
      <c r="H12" s="173"/>
      <c r="I12" s="173"/>
      <c r="J12" s="173"/>
      <c r="K12" s="173"/>
      <c r="L12" s="34">
        <f>SUM(L10:L11)</f>
        <v>2890338436.4031615</v>
      </c>
    </row>
  </sheetData>
  <mergeCells count="17">
    <mergeCell ref="C12:K12"/>
    <mergeCell ref="C2:L2"/>
    <mergeCell ref="G10:G11"/>
    <mergeCell ref="C7:D7"/>
    <mergeCell ref="I7:J7"/>
    <mergeCell ref="K7:L7"/>
    <mergeCell ref="C10:C11"/>
    <mergeCell ref="D10:D11"/>
    <mergeCell ref="E10:E11"/>
    <mergeCell ref="F10:F11"/>
    <mergeCell ref="C6:D6"/>
    <mergeCell ref="I6:J6"/>
    <mergeCell ref="K6:L6"/>
    <mergeCell ref="C1:L1"/>
    <mergeCell ref="C3:L3"/>
    <mergeCell ref="I4:L4"/>
    <mergeCell ref="C4:H4"/>
  </mergeCells>
  <printOptions horizontalCentered="1"/>
  <pageMargins left="0.2" right="0.2" top="0.75" bottom="0.75" header="0.3" footer="0.3"/>
  <pageSetup paperSize="9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13"/>
  <sheetViews>
    <sheetView rightToLeft="1" tabSelected="1" view="pageBreakPreview" zoomScale="90" zoomScaleNormal="115" zoomScaleSheetLayoutView="90" workbookViewId="0">
      <selection activeCell="K16" sqref="K16"/>
    </sheetView>
  </sheetViews>
  <sheetFormatPr defaultColWidth="9.109375" defaultRowHeight="18.600000000000001" x14ac:dyDescent="0.55000000000000004"/>
  <cols>
    <col min="1" max="3" width="9.109375" style="1"/>
    <col min="4" max="4" width="16.33203125" style="1" customWidth="1"/>
    <col min="5" max="5" width="14.88671875" style="1" customWidth="1"/>
    <col min="6" max="6" width="8.33203125" style="1" bestFit="1" customWidth="1"/>
    <col min="7" max="7" width="15.88671875" style="1" customWidth="1"/>
    <col min="8" max="8" width="19.44140625" style="1" customWidth="1"/>
    <col min="9" max="9" width="18.44140625" style="1" customWidth="1"/>
    <col min="10" max="10" width="10.6640625" style="1" bestFit="1" customWidth="1"/>
    <col min="11" max="11" width="23.33203125" style="1" customWidth="1"/>
    <col min="12" max="12" width="15" style="1" bestFit="1" customWidth="1"/>
    <col min="13" max="13" width="9.109375" style="1"/>
    <col min="14" max="14" width="20.33203125" style="1" customWidth="1"/>
    <col min="15" max="16384" width="9.109375" style="1"/>
  </cols>
  <sheetData>
    <row r="1" spans="3:12" ht="23.4" x14ac:dyDescent="0.75"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3:12" ht="23.4" x14ac:dyDescent="0.75">
      <c r="C2" s="91" t="s">
        <v>23</v>
      </c>
      <c r="D2" s="91"/>
      <c r="E2" s="91"/>
      <c r="F2" s="91"/>
      <c r="G2" s="91"/>
      <c r="H2" s="91"/>
      <c r="I2" s="91"/>
      <c r="J2" s="91"/>
      <c r="K2" s="91"/>
      <c r="L2" s="91"/>
    </row>
    <row r="3" spans="3:12" ht="23.4" x14ac:dyDescent="0.75">
      <c r="C3" s="91" t="s">
        <v>37</v>
      </c>
      <c r="D3" s="91"/>
      <c r="E3" s="91"/>
      <c r="F3" s="91"/>
      <c r="G3" s="91"/>
      <c r="H3" s="91"/>
      <c r="I3" s="91"/>
      <c r="J3" s="91"/>
      <c r="K3" s="91"/>
      <c r="L3" s="91"/>
    </row>
    <row r="4" spans="3:12" ht="20.399999999999999" x14ac:dyDescent="0.65">
      <c r="C4" s="98" t="s">
        <v>40</v>
      </c>
      <c r="D4" s="98"/>
      <c r="E4" s="98"/>
      <c r="F4" s="98"/>
      <c r="G4" s="98"/>
      <c r="H4" s="98"/>
      <c r="I4" s="99" t="s">
        <v>39</v>
      </c>
      <c r="J4" s="99"/>
      <c r="K4" s="99"/>
      <c r="L4" s="99"/>
    </row>
    <row r="5" spans="3:12" ht="11.25" customHeight="1" x14ac:dyDescent="0.65">
      <c r="C5" s="6"/>
      <c r="D5" s="6"/>
      <c r="E5" s="5"/>
      <c r="F5" s="5"/>
      <c r="G5" s="5"/>
      <c r="H5" s="5"/>
      <c r="I5" s="7"/>
      <c r="J5" s="7"/>
      <c r="K5" s="7"/>
      <c r="L5" s="7"/>
    </row>
    <row r="6" spans="3:12" x14ac:dyDescent="0.55000000000000004">
      <c r="C6" s="130" t="s">
        <v>3</v>
      </c>
      <c r="D6" s="130"/>
      <c r="E6" s="2" t="s">
        <v>8</v>
      </c>
      <c r="G6" s="21">
        <v>231630000000</v>
      </c>
      <c r="H6" s="3" t="s">
        <v>4</v>
      </c>
      <c r="I6" s="135"/>
      <c r="J6" s="135"/>
      <c r="K6" s="136"/>
      <c r="L6" s="136"/>
    </row>
    <row r="7" spans="3:12" x14ac:dyDescent="0.55000000000000004">
      <c r="C7" s="136">
        <v>45385</v>
      </c>
      <c r="D7" s="136"/>
      <c r="E7" s="2" t="s">
        <v>9</v>
      </c>
      <c r="G7" s="22">
        <v>365</v>
      </c>
      <c r="H7" s="3" t="s">
        <v>5</v>
      </c>
      <c r="I7" s="130"/>
      <c r="J7" s="130"/>
      <c r="K7" s="130"/>
      <c r="L7" s="130"/>
    </row>
    <row r="8" spans="3:12" ht="11.25" customHeight="1" thickBot="1" x14ac:dyDescent="0.6"/>
    <row r="9" spans="3:12" ht="51" customHeight="1" x14ac:dyDescent="0.55000000000000004">
      <c r="C9" s="18" t="s">
        <v>0</v>
      </c>
      <c r="D9" s="19" t="s">
        <v>20</v>
      </c>
      <c r="E9" s="19" t="s">
        <v>29</v>
      </c>
      <c r="F9" s="19" t="s">
        <v>10</v>
      </c>
      <c r="G9" s="19" t="s">
        <v>6</v>
      </c>
      <c r="H9" s="19" t="s">
        <v>15</v>
      </c>
      <c r="I9" s="19" t="s">
        <v>14</v>
      </c>
      <c r="J9" s="19" t="s">
        <v>16</v>
      </c>
      <c r="K9" s="19" t="s">
        <v>1</v>
      </c>
      <c r="L9" s="20" t="s">
        <v>2</v>
      </c>
    </row>
    <row r="10" spans="3:12" x14ac:dyDescent="0.55000000000000004">
      <c r="C10" s="23">
        <v>1</v>
      </c>
      <c r="D10" s="11">
        <f>G6*0.08</f>
        <v>18530400000</v>
      </c>
      <c r="E10" s="12">
        <v>45364</v>
      </c>
      <c r="F10" s="26">
        <v>10</v>
      </c>
      <c r="G10" s="12">
        <f>E10+F10</f>
        <v>45374</v>
      </c>
      <c r="H10" s="11">
        <f>D10</f>
        <v>18530400000</v>
      </c>
      <c r="I10" s="12">
        <v>45367</v>
      </c>
      <c r="J10" s="13">
        <v>0</v>
      </c>
      <c r="K10" s="13" t="s">
        <v>36</v>
      </c>
      <c r="L10" s="27">
        <v>0</v>
      </c>
    </row>
    <row r="11" spans="3:12" x14ac:dyDescent="0.55000000000000004">
      <c r="C11" s="23">
        <v>2</v>
      </c>
      <c r="D11" s="11">
        <f>G6*0.06</f>
        <v>13897800000</v>
      </c>
      <c r="E11" s="12">
        <v>45396</v>
      </c>
      <c r="F11" s="26">
        <v>10</v>
      </c>
      <c r="G11" s="12">
        <f>E11+F11</f>
        <v>45406</v>
      </c>
      <c r="H11" s="11">
        <f>D11</f>
        <v>13897800000</v>
      </c>
      <c r="I11" s="12">
        <v>45412</v>
      </c>
      <c r="J11" s="13">
        <f t="shared" ref="J11:J12" si="0">I11-G11</f>
        <v>6</v>
      </c>
      <c r="K11" s="13" t="s">
        <v>36</v>
      </c>
      <c r="L11" s="27">
        <f>H11*J11/365*0.537</f>
        <v>122681401.64383563</v>
      </c>
    </row>
    <row r="12" spans="3:12" x14ac:dyDescent="0.55000000000000004">
      <c r="C12" s="23">
        <v>3</v>
      </c>
      <c r="D12" s="11">
        <f>G6*0.06</f>
        <v>13897800000</v>
      </c>
      <c r="E12" s="12">
        <v>45563</v>
      </c>
      <c r="F12" s="26">
        <v>10</v>
      </c>
      <c r="G12" s="12">
        <f>E12+F12</f>
        <v>45573</v>
      </c>
      <c r="H12" s="11">
        <f>D12</f>
        <v>13897800000</v>
      </c>
      <c r="I12" s="12">
        <v>45563</v>
      </c>
      <c r="J12" s="13">
        <f t="shared" si="0"/>
        <v>-10</v>
      </c>
      <c r="K12" s="13" t="s">
        <v>36</v>
      </c>
      <c r="L12" s="27">
        <v>0</v>
      </c>
    </row>
    <row r="13" spans="3:12" ht="21" thickBot="1" x14ac:dyDescent="0.7">
      <c r="C13" s="172" t="s">
        <v>13</v>
      </c>
      <c r="D13" s="173"/>
      <c r="E13" s="173"/>
      <c r="F13" s="173"/>
      <c r="G13" s="173"/>
      <c r="H13" s="173"/>
      <c r="I13" s="173"/>
      <c r="J13" s="173"/>
      <c r="K13" s="173"/>
      <c r="L13" s="34">
        <f>SUM(L10:L12)</f>
        <v>122681401.64383563</v>
      </c>
    </row>
  </sheetData>
  <mergeCells count="12">
    <mergeCell ref="C1:L1"/>
    <mergeCell ref="C3:L3"/>
    <mergeCell ref="I4:L4"/>
    <mergeCell ref="C4:H4"/>
    <mergeCell ref="C13:K13"/>
    <mergeCell ref="C2:L2"/>
    <mergeCell ref="C7:D7"/>
    <mergeCell ref="I7:J7"/>
    <mergeCell ref="K7:L7"/>
    <mergeCell ref="C6:D6"/>
    <mergeCell ref="I6:J6"/>
    <mergeCell ref="K6:L6"/>
  </mergeCells>
  <phoneticPr fontId="6" type="noConversion"/>
  <printOptions horizontalCentered="1"/>
  <pageMargins left="0.2" right="0.2" top="0.75" bottom="0.75" header="0.3" footer="0.3"/>
  <pageSetup paperSize="9" scale="95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تاخیر تادیه</vt:lpstr>
      <vt:lpstr>صورت وضعیت </vt:lpstr>
      <vt:lpstr>تعدیل</vt:lpstr>
      <vt:lpstr>حسن</vt:lpstr>
      <vt:lpstr>پیش پرداخت</vt:lpstr>
      <vt:lpstr>'پیش پرداخت'!Print_Area</vt:lpstr>
      <vt:lpstr>'تاخیر تادیه'!Print_Area</vt:lpstr>
      <vt:lpstr>تعدیل!Print_Area</vt:lpstr>
      <vt:lpstr>حسن!Print_Area</vt:lpstr>
      <vt:lpstr>'صورت وضعیت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2026-07-07T15:03:21Z</dcterms:modified>
</cp:coreProperties>
</file>